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<sst xmlns="http://schemas.openxmlformats.org/spreadsheetml/2006/main" count="747" uniqueCount="68">
  <si>
    <t>石首市2022年第二批事业单位人才引进考生综合成绩汇总表</t>
  </si>
  <si>
    <t>岗位
代码</t>
  </si>
  <si>
    <t>招聘单位</t>
  </si>
  <si>
    <t>原计划数</t>
  </si>
  <si>
    <t>调整后
计划数</t>
  </si>
  <si>
    <t>姓名</t>
  </si>
  <si>
    <t>面试分数</t>
  </si>
  <si>
    <t>面试
折算分数</t>
  </si>
  <si>
    <t>人岗相适评分</t>
  </si>
  <si>
    <t>人岗相适评分折算</t>
  </si>
  <si>
    <t>综合成绩</t>
  </si>
  <si>
    <t>石首市党员电化教育中心</t>
  </si>
  <si>
    <t>石首市干部档案信息中心</t>
  </si>
  <si>
    <t>缺考</t>
  </si>
  <si>
    <t>石首市新时代文明实践指导中心</t>
  </si>
  <si>
    <t>石首市文学艺术研究院</t>
  </si>
  <si>
    <t>湖北省工业自动化技师学院</t>
  </si>
  <si>
    <t>石首市城市建设投资开发中心</t>
  </si>
  <si>
    <t>湖北省长吻鮠良种场</t>
  </si>
  <si>
    <t>石首市发展和改革局价格认定中心</t>
  </si>
  <si>
    <t>石首市军粮供应站</t>
  </si>
  <si>
    <t>石首市第一中学</t>
  </si>
  <si>
    <t>石首市南岳高级中学</t>
  </si>
  <si>
    <t>石首市建宁高级中学</t>
  </si>
  <si>
    <t>石首市中小企业服务中心</t>
  </si>
  <si>
    <t>石首市产业服务促进中心</t>
  </si>
  <si>
    <t>石首市经济发展促进中心</t>
  </si>
  <si>
    <t>石首市殡葬管理所（特殊岗位）</t>
  </si>
  <si>
    <t>石首市财政局信息中心</t>
  </si>
  <si>
    <t>石首市桃花山林场</t>
  </si>
  <si>
    <t>石首市不动产登记交易中心</t>
  </si>
  <si>
    <t>石首市陆生野生动植物保护站</t>
  </si>
  <si>
    <t>石首市测绘地理信息院</t>
  </si>
  <si>
    <t>石首市建设科技与建筑节能中心</t>
  </si>
  <si>
    <t>石首市政园林服务中心</t>
  </si>
  <si>
    <t>石首市场服务中心</t>
  </si>
  <si>
    <t>石首市数字城市管理指挥中心</t>
  </si>
  <si>
    <t>石首市公路建设养护中心</t>
  </si>
  <si>
    <t>石首市道路运输和物流发展服务中心</t>
  </si>
  <si>
    <t>石首市港航服务中心</t>
  </si>
  <si>
    <t>石首市农村公路养护中心</t>
  </si>
  <si>
    <t>石首市堤防管理总段</t>
  </si>
  <si>
    <t>石首市灌区服务中心</t>
  </si>
  <si>
    <t>石首市冯家潭泵站</t>
  </si>
  <si>
    <t>石首市大港口泵站</t>
  </si>
  <si>
    <t>石首市上津湖泵站</t>
  </si>
  <si>
    <t>石首市农业环保和生态能源服务中心</t>
  </si>
  <si>
    <t>石首市水产技术服务中心</t>
  </si>
  <si>
    <t>石首市动物疫病预防控制中心</t>
  </si>
  <si>
    <t>石首市蔬菜产业发展中心</t>
  </si>
  <si>
    <t>游伟</t>
  </si>
  <si>
    <t>石首市农业技术推广中心</t>
  </si>
  <si>
    <t>石首市农田建设中心</t>
  </si>
  <si>
    <t>石首市群众艺术馆</t>
  </si>
  <si>
    <t>石首市人民医院</t>
  </si>
  <si>
    <t>石首市中医医院</t>
  </si>
  <si>
    <t>石首市疾病预防控制中心</t>
  </si>
  <si>
    <t>石首市消费者委员会联络中心</t>
  </si>
  <si>
    <t>石首市计量检定测试所</t>
  </si>
  <si>
    <t>石首市政务服务中心</t>
  </si>
  <si>
    <t>石首市大数据服务中心</t>
  </si>
  <si>
    <t>石首市工业园区服务中心</t>
  </si>
  <si>
    <t>石首市法律援助中心</t>
  </si>
  <si>
    <t>石首市融媒体中心</t>
  </si>
  <si>
    <t>石首市机关事务服务中心</t>
  </si>
  <si>
    <t>石首市公共检验检测中心</t>
  </si>
  <si>
    <t>石首市招商服务中心</t>
  </si>
  <si>
    <t>石首市绣林街道党群服务中心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</si>
</sst>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176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48"/>
  <sheetViews>
    <sheetView tabSelected="1" zoomScale="85" zoomScaleNormal="85" workbookViewId="0" topLeftCell="A1">
      <selection activeCell="A3" sqref="A3:IV3"/>
    </sheetView>
  </sheetViews>
  <sheetFormatPr defaultColWidth="9.00390625" defaultRowHeight="14.25"/>
  <cols>
    <col min="1" max="1" width="9.25390625" style="2" customWidth="1"/>
    <col min="2" max="2" width="34.75390625" style="3" customWidth="1"/>
    <col min="3" max="3" width="11.625" style="3" customWidth="1"/>
    <col min="4" max="4" width="10.50390625" style="3" customWidth="1"/>
    <col min="5" max="5" width="9.25390625" style="3" customWidth="1"/>
    <col min="6" max="6" width="9.00390625" style="4" customWidth="1"/>
    <col min="7" max="10" width="9.00390625" style="5" customWidth="1"/>
    <col min="11" max="16384" width="9.00390625" style="3" customWidth="1"/>
  </cols>
  <sheetData>
    <row r="2" spans="1:10" ht="27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</row>
    <row r="3" spans="1:10" ht="42.75" customHeight="1">
      <c r="A3" s="7" t="s">
        <v>1</v>
      </c>
      <c r="B3" s="8" t="s">
        <v>2</v>
      </c>
      <c r="C3" s="8" t="s">
        <v>3</v>
      </c>
      <c r="D3" s="7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ht="22.5" customHeight="1">
      <c r="A4" s="11" t="str">
        <f>"10101"</f>
        <v>10101</v>
      </c>
      <c r="B4" s="12" t="s">
        <v>11</v>
      </c>
      <c r="C4" s="13">
        <v>1</v>
      </c>
      <c r="D4" s="13">
        <v>1</v>
      </c>
      <c r="E4" s="14" t="str">
        <f>"王秦"</f>
        <v>王秦</v>
      </c>
      <c r="F4" s="15">
        <v>86.38</v>
      </c>
      <c r="G4" s="16">
        <f>F4*0.8</f>
        <v>69.104</v>
      </c>
      <c r="H4" s="17">
        <v>93.5</v>
      </c>
      <c r="I4" s="17">
        <f>H4*0.2</f>
        <v>18.7</v>
      </c>
      <c r="J4" s="16">
        <f>G4+I4</f>
        <v>87.804</v>
      </c>
    </row>
    <row r="5" spans="1:10" s="1" customFormat="1" ht="22.5" customHeight="1">
      <c r="A5" s="18" t="str">
        <f>"10101"</f>
        <v>10101</v>
      </c>
      <c r="B5" s="19" t="s">
        <v>11</v>
      </c>
      <c r="C5" s="20"/>
      <c r="D5" s="20"/>
      <c r="E5" s="19" t="str">
        <f>"周伊"</f>
        <v>周伊</v>
      </c>
      <c r="F5" s="21">
        <v>85.56</v>
      </c>
      <c r="G5" s="22">
        <f>F5*0.8</f>
        <v>68.44800000000001</v>
      </c>
      <c r="H5" s="22">
        <v>93.5</v>
      </c>
      <c r="I5" s="22">
        <f>H5*0.2</f>
        <v>18.7</v>
      </c>
      <c r="J5" s="22">
        <f>G5+I5</f>
        <v>87.14800000000001</v>
      </c>
    </row>
    <row r="6" spans="1:10" s="1" customFormat="1" ht="22.5" customHeight="1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ht="22.5" customHeight="1">
      <c r="A7" s="24" t="str">
        <f>"10201"</f>
        <v>10201</v>
      </c>
      <c r="B7" s="25" t="s">
        <v>12</v>
      </c>
      <c r="C7" s="26">
        <v>1</v>
      </c>
      <c r="D7" s="26">
        <v>1</v>
      </c>
      <c r="E7" s="27" t="str">
        <f>"段晓柯"</f>
        <v>段晓柯</v>
      </c>
      <c r="F7" s="28">
        <v>85.2</v>
      </c>
      <c r="G7" s="29">
        <f>F7*0.8</f>
        <v>68.16000000000001</v>
      </c>
      <c r="H7" s="30">
        <v>93.5</v>
      </c>
      <c r="I7" s="30">
        <f>H7*0.2</f>
        <v>18.7</v>
      </c>
      <c r="J7" s="29">
        <f>G7+I7</f>
        <v>86.86000000000001</v>
      </c>
    </row>
    <row r="8" spans="1:10" ht="22.5" customHeight="1">
      <c r="A8" s="11" t="str">
        <f>"10201"</f>
        <v>10201</v>
      </c>
      <c r="B8" s="12" t="s">
        <v>12</v>
      </c>
      <c r="C8" s="31"/>
      <c r="D8" s="31"/>
      <c r="E8" s="14" t="str">
        <f>"陈怡帆"</f>
        <v>陈怡帆</v>
      </c>
      <c r="F8" s="15">
        <v>85.08</v>
      </c>
      <c r="G8" s="17">
        <f>F8*0.8</f>
        <v>68.06400000000001</v>
      </c>
      <c r="H8" s="17">
        <v>92</v>
      </c>
      <c r="I8" s="17">
        <f>H8*0.2</f>
        <v>18.400000000000002</v>
      </c>
      <c r="J8" s="17">
        <f>G8+I8</f>
        <v>86.46400000000001</v>
      </c>
    </row>
    <row r="9" spans="1:10" s="1" customFormat="1" ht="22.5" customHeight="1">
      <c r="A9" s="18" t="str">
        <f>"10201"</f>
        <v>10201</v>
      </c>
      <c r="B9" s="19" t="s">
        <v>12</v>
      </c>
      <c r="C9" s="20"/>
      <c r="D9" s="20"/>
      <c r="E9" s="19" t="str">
        <f>"李鑫涛"</f>
        <v>李鑫涛</v>
      </c>
      <c r="F9" s="21" t="s">
        <v>13</v>
      </c>
      <c r="G9" s="22"/>
      <c r="H9" s="22"/>
      <c r="I9" s="22"/>
      <c r="J9" s="22"/>
    </row>
    <row r="10" spans="1:10" s="1" customFormat="1" ht="22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22.5" customHeight="1">
      <c r="A11" s="11" t="str">
        <f aca="true" t="shared" si="0" ref="A11:A18">"10301"</f>
        <v>10301</v>
      </c>
      <c r="B11" s="12" t="s">
        <v>14</v>
      </c>
      <c r="C11" s="13">
        <v>1</v>
      </c>
      <c r="D11" s="13">
        <v>1</v>
      </c>
      <c r="E11" s="14" t="str">
        <f>"李梦杰"</f>
        <v>李梦杰</v>
      </c>
      <c r="F11" s="15">
        <v>85.1</v>
      </c>
      <c r="G11" s="16">
        <f>F11*0.8</f>
        <v>68.08</v>
      </c>
      <c r="H11" s="17">
        <v>93</v>
      </c>
      <c r="I11" s="17">
        <f>H11*0.2</f>
        <v>18.6</v>
      </c>
      <c r="J11" s="17">
        <f>G11+I11</f>
        <v>86.68</v>
      </c>
    </row>
    <row r="12" spans="1:10" ht="22.5" customHeight="1">
      <c r="A12" s="11" t="str">
        <f t="shared" si="0"/>
        <v>10301</v>
      </c>
      <c r="B12" s="12" t="s">
        <v>14</v>
      </c>
      <c r="C12" s="31"/>
      <c r="D12" s="31"/>
      <c r="E12" s="14" t="str">
        <f>"邓马林"</f>
        <v>邓马林</v>
      </c>
      <c r="F12" s="15">
        <v>82.44</v>
      </c>
      <c r="G12" s="16">
        <f>F12*0.8</f>
        <v>65.952</v>
      </c>
      <c r="H12" s="17">
        <v>93.5</v>
      </c>
      <c r="I12" s="17">
        <f>H12*0.2</f>
        <v>18.7</v>
      </c>
      <c r="J12" s="17">
        <f>G12+I12</f>
        <v>84.652</v>
      </c>
    </row>
    <row r="13" spans="1:10" ht="22.5" customHeight="1">
      <c r="A13" s="11" t="str">
        <f t="shared" si="0"/>
        <v>10301</v>
      </c>
      <c r="B13" s="12" t="s">
        <v>14</v>
      </c>
      <c r="C13" s="31"/>
      <c r="D13" s="31"/>
      <c r="E13" s="14" t="str">
        <f>"熊婷"</f>
        <v>熊婷</v>
      </c>
      <c r="F13" s="15">
        <v>82.16</v>
      </c>
      <c r="G13" s="17">
        <f>F13*0.8</f>
        <v>65.728</v>
      </c>
      <c r="H13" s="17">
        <v>93</v>
      </c>
      <c r="I13" s="17">
        <f>H13*0.2</f>
        <v>18.6</v>
      </c>
      <c r="J13" s="17">
        <f>G13+I13</f>
        <v>84.328</v>
      </c>
    </row>
    <row r="14" spans="1:10" ht="22.5" customHeight="1">
      <c r="A14" s="11" t="str">
        <f t="shared" si="0"/>
        <v>10301</v>
      </c>
      <c r="B14" s="12" t="s">
        <v>14</v>
      </c>
      <c r="C14" s="31"/>
      <c r="D14" s="31"/>
      <c r="E14" s="14" t="str">
        <f>"袁凯顺"</f>
        <v>袁凯顺</v>
      </c>
      <c r="F14" s="15">
        <v>82.26</v>
      </c>
      <c r="G14" s="17">
        <f>F14*0.8</f>
        <v>65.808</v>
      </c>
      <c r="H14" s="17">
        <v>92.5</v>
      </c>
      <c r="I14" s="17">
        <f>H14*0.2</f>
        <v>18.5</v>
      </c>
      <c r="J14" s="17">
        <f>G14+I14</f>
        <v>84.308</v>
      </c>
    </row>
    <row r="15" spans="1:10" ht="22.5" customHeight="1">
      <c r="A15" s="11" t="str">
        <f t="shared" si="0"/>
        <v>10301</v>
      </c>
      <c r="B15" s="12" t="s">
        <v>14</v>
      </c>
      <c r="C15" s="31"/>
      <c r="D15" s="31"/>
      <c r="E15" s="14" t="str">
        <f>"牛首泽"</f>
        <v>牛首泽</v>
      </c>
      <c r="F15" s="15">
        <v>80.2</v>
      </c>
      <c r="G15" s="17">
        <f>F15*0.8</f>
        <v>64.16000000000001</v>
      </c>
      <c r="H15" s="17">
        <v>93.5</v>
      </c>
      <c r="I15" s="17">
        <f>H15*0.2</f>
        <v>18.7</v>
      </c>
      <c r="J15" s="17">
        <f>G15+I15</f>
        <v>82.86000000000001</v>
      </c>
    </row>
    <row r="16" spans="1:10" ht="22.5" customHeight="1">
      <c r="A16" s="11" t="str">
        <f t="shared" si="0"/>
        <v>10301</v>
      </c>
      <c r="B16" s="12" t="s">
        <v>14</v>
      </c>
      <c r="C16" s="31"/>
      <c r="D16" s="31"/>
      <c r="E16" s="12" t="str">
        <f>"王景玉"</f>
        <v>王景玉</v>
      </c>
      <c r="F16" s="32" t="s">
        <v>13</v>
      </c>
      <c r="G16" s="16"/>
      <c r="H16" s="17"/>
      <c r="I16" s="17"/>
      <c r="J16" s="16"/>
    </row>
    <row r="17" spans="1:10" ht="22.5" customHeight="1">
      <c r="A17" s="11" t="str">
        <f t="shared" si="0"/>
        <v>10301</v>
      </c>
      <c r="B17" s="12" t="s">
        <v>14</v>
      </c>
      <c r="C17" s="31"/>
      <c r="D17" s="31"/>
      <c r="E17" s="12" t="str">
        <f>"揭凯"</f>
        <v>揭凯</v>
      </c>
      <c r="F17" s="32" t="s">
        <v>13</v>
      </c>
      <c r="G17" s="16"/>
      <c r="H17" s="17"/>
      <c r="I17" s="17"/>
      <c r="J17" s="17"/>
    </row>
    <row r="18" spans="1:10" s="1" customFormat="1" ht="21.75" customHeight="1">
      <c r="A18" s="23" t="str">
        <f t="shared" si="0"/>
        <v>10301</v>
      </c>
      <c r="B18" s="14" t="s">
        <v>14</v>
      </c>
      <c r="C18" s="33"/>
      <c r="D18" s="33"/>
      <c r="E18" s="14" t="str">
        <f>"金延俊"</f>
        <v>金延俊</v>
      </c>
      <c r="F18" s="32" t="s">
        <v>13</v>
      </c>
      <c r="G18" s="16"/>
      <c r="H18" s="16"/>
      <c r="I18" s="16"/>
      <c r="J18" s="16"/>
    </row>
    <row r="19" spans="1:10" s="1" customFormat="1" ht="21.75" customHeight="1">
      <c r="A19" s="34"/>
      <c r="B19" s="35"/>
      <c r="C19" s="35"/>
      <c r="D19" s="35"/>
      <c r="E19" s="35"/>
      <c r="F19" s="35"/>
      <c r="G19" s="35"/>
      <c r="H19" s="35"/>
      <c r="I19" s="35"/>
      <c r="J19" s="36"/>
    </row>
    <row r="20" spans="1:10" ht="22.5" customHeight="1">
      <c r="A20" s="11" t="str">
        <f aca="true" t="shared" si="1" ref="A20:A34">"10401"</f>
        <v>10401</v>
      </c>
      <c r="B20" s="12" t="s">
        <v>15</v>
      </c>
      <c r="C20" s="13">
        <v>1</v>
      </c>
      <c r="D20" s="13">
        <v>1</v>
      </c>
      <c r="E20" s="14" t="str">
        <f>"严兆莹"</f>
        <v>严兆莹</v>
      </c>
      <c r="F20" s="15">
        <v>87.14</v>
      </c>
      <c r="G20" s="16">
        <f>F20*0.8</f>
        <v>69.712</v>
      </c>
      <c r="H20" s="17">
        <v>93.5</v>
      </c>
      <c r="I20" s="17">
        <f>H20*0.2</f>
        <v>18.7</v>
      </c>
      <c r="J20" s="16">
        <f>G20+I20</f>
        <v>88.412</v>
      </c>
    </row>
    <row r="21" spans="1:10" ht="22.5" customHeight="1">
      <c r="A21" s="11" t="str">
        <f t="shared" si="1"/>
        <v>10401</v>
      </c>
      <c r="B21" s="12" t="s">
        <v>15</v>
      </c>
      <c r="C21" s="31"/>
      <c r="D21" s="31"/>
      <c r="E21" s="14" t="str">
        <f>"王姝琪"</f>
        <v>王姝琪</v>
      </c>
      <c r="F21" s="15">
        <v>86.86</v>
      </c>
      <c r="G21" s="17">
        <f>F21*0.8</f>
        <v>69.488</v>
      </c>
      <c r="H21" s="17">
        <v>92</v>
      </c>
      <c r="I21" s="17">
        <f>H21*0.2</f>
        <v>18.400000000000002</v>
      </c>
      <c r="J21" s="17">
        <f>G21+I21</f>
        <v>87.888</v>
      </c>
    </row>
    <row r="22" spans="1:10" ht="22.5" customHeight="1">
      <c r="A22" s="11" t="str">
        <f t="shared" si="1"/>
        <v>10401</v>
      </c>
      <c r="B22" s="12" t="s">
        <v>15</v>
      </c>
      <c r="C22" s="31"/>
      <c r="D22" s="31"/>
      <c r="E22" s="14" t="str">
        <f>"何伟"</f>
        <v>何伟</v>
      </c>
      <c r="F22" s="15">
        <v>85.98</v>
      </c>
      <c r="G22" s="17">
        <f>F22*0.8</f>
        <v>68.784</v>
      </c>
      <c r="H22" s="17">
        <v>93.5</v>
      </c>
      <c r="I22" s="17">
        <f>H22*0.2</f>
        <v>18.7</v>
      </c>
      <c r="J22" s="17">
        <f>G22+I22</f>
        <v>87.48400000000001</v>
      </c>
    </row>
    <row r="23" spans="1:10" ht="22.5" customHeight="1">
      <c r="A23" s="11" t="str">
        <f t="shared" si="1"/>
        <v>10401</v>
      </c>
      <c r="B23" s="12" t="s">
        <v>15</v>
      </c>
      <c r="C23" s="31"/>
      <c r="D23" s="31"/>
      <c r="E23" s="14" t="str">
        <f>"覃磊"</f>
        <v>覃磊</v>
      </c>
      <c r="F23" s="15">
        <v>85.1</v>
      </c>
      <c r="G23" s="17">
        <f>F23*0.8</f>
        <v>68.08</v>
      </c>
      <c r="H23" s="17">
        <v>92.5</v>
      </c>
      <c r="I23" s="17">
        <f>H23*0.2</f>
        <v>18.5</v>
      </c>
      <c r="J23" s="17">
        <f>G23+I23</f>
        <v>86.58</v>
      </c>
    </row>
    <row r="24" spans="1:10" ht="22.5" customHeight="1">
      <c r="A24" s="11" t="str">
        <f t="shared" si="1"/>
        <v>10401</v>
      </c>
      <c r="B24" s="12" t="s">
        <v>15</v>
      </c>
      <c r="C24" s="31"/>
      <c r="D24" s="31"/>
      <c r="E24" s="14" t="str">
        <f>"王芳"</f>
        <v>王芳</v>
      </c>
      <c r="F24" s="15">
        <v>83.92</v>
      </c>
      <c r="G24" s="17">
        <f>F24*0.8</f>
        <v>67.13600000000001</v>
      </c>
      <c r="H24" s="17">
        <v>93.5</v>
      </c>
      <c r="I24" s="17">
        <f>H24*0.2</f>
        <v>18.7</v>
      </c>
      <c r="J24" s="17">
        <f>G24+I24</f>
        <v>85.83600000000001</v>
      </c>
    </row>
    <row r="25" spans="1:10" ht="22.5" customHeight="1">
      <c r="A25" s="11" t="str">
        <f t="shared" si="1"/>
        <v>10401</v>
      </c>
      <c r="B25" s="12" t="s">
        <v>15</v>
      </c>
      <c r="C25" s="31"/>
      <c r="D25" s="31"/>
      <c r="E25" s="12" t="str">
        <f>"华莎"</f>
        <v>华莎</v>
      </c>
      <c r="F25" s="32" t="s">
        <v>13</v>
      </c>
      <c r="G25" s="16"/>
      <c r="H25" s="17"/>
      <c r="I25" s="17"/>
      <c r="J25" s="17"/>
    </row>
    <row r="26" spans="1:10" ht="22.5" customHeight="1">
      <c r="A26" s="11" t="str">
        <f t="shared" si="1"/>
        <v>10401</v>
      </c>
      <c r="B26" s="12" t="s">
        <v>15</v>
      </c>
      <c r="C26" s="31"/>
      <c r="D26" s="31"/>
      <c r="E26" s="12" t="str">
        <f>"卢思旭"</f>
        <v>卢思旭</v>
      </c>
      <c r="F26" s="32" t="s">
        <v>13</v>
      </c>
      <c r="G26" s="16"/>
      <c r="H26" s="17"/>
      <c r="I26" s="17"/>
      <c r="J26" s="17"/>
    </row>
    <row r="27" spans="1:10" ht="22.5" customHeight="1">
      <c r="A27" s="11" t="str">
        <f t="shared" si="1"/>
        <v>10401</v>
      </c>
      <c r="B27" s="12" t="s">
        <v>15</v>
      </c>
      <c r="C27" s="31"/>
      <c r="D27" s="31"/>
      <c r="E27" s="12" t="str">
        <f>"林梓全"</f>
        <v>林梓全</v>
      </c>
      <c r="F27" s="32" t="s">
        <v>13</v>
      </c>
      <c r="G27" s="16"/>
      <c r="H27" s="17"/>
      <c r="I27" s="17"/>
      <c r="J27" s="17"/>
    </row>
    <row r="28" spans="1:10" ht="22.5" customHeight="1">
      <c r="A28" s="11" t="str">
        <f t="shared" si="1"/>
        <v>10401</v>
      </c>
      <c r="B28" s="12" t="s">
        <v>15</v>
      </c>
      <c r="C28" s="31"/>
      <c r="D28" s="31"/>
      <c r="E28" s="12" t="str">
        <f>"王牵云"</f>
        <v>王牵云</v>
      </c>
      <c r="F28" s="32" t="s">
        <v>13</v>
      </c>
      <c r="G28" s="16"/>
      <c r="H28" s="17"/>
      <c r="I28" s="17"/>
      <c r="J28" s="17"/>
    </row>
    <row r="29" spans="1:10" ht="22.5" customHeight="1">
      <c r="A29" s="11" t="str">
        <f t="shared" si="1"/>
        <v>10401</v>
      </c>
      <c r="B29" s="12" t="s">
        <v>15</v>
      </c>
      <c r="C29" s="31"/>
      <c r="D29" s="31"/>
      <c r="E29" s="12" t="str">
        <f>"戴霞飞"</f>
        <v>戴霞飞</v>
      </c>
      <c r="F29" s="32" t="s">
        <v>13</v>
      </c>
      <c r="G29" s="16"/>
      <c r="H29" s="17"/>
      <c r="I29" s="17"/>
      <c r="J29" s="17"/>
    </row>
    <row r="30" spans="1:10" ht="22.5" customHeight="1">
      <c r="A30" s="11" t="str">
        <f t="shared" si="1"/>
        <v>10401</v>
      </c>
      <c r="B30" s="12" t="s">
        <v>15</v>
      </c>
      <c r="C30" s="31"/>
      <c r="D30" s="31"/>
      <c r="E30" s="12" t="str">
        <f>"吴一方"</f>
        <v>吴一方</v>
      </c>
      <c r="F30" s="32" t="s">
        <v>13</v>
      </c>
      <c r="G30" s="16"/>
      <c r="H30" s="17"/>
      <c r="I30" s="17"/>
      <c r="J30" s="17"/>
    </row>
    <row r="31" spans="1:10" ht="22.5" customHeight="1">
      <c r="A31" s="11" t="str">
        <f t="shared" si="1"/>
        <v>10401</v>
      </c>
      <c r="B31" s="12" t="s">
        <v>15</v>
      </c>
      <c r="C31" s="31"/>
      <c r="D31" s="31"/>
      <c r="E31" s="12" t="str">
        <f>"陈爱平"</f>
        <v>陈爱平</v>
      </c>
      <c r="F31" s="32" t="s">
        <v>13</v>
      </c>
      <c r="G31" s="16"/>
      <c r="H31" s="17"/>
      <c r="I31" s="17"/>
      <c r="J31" s="17"/>
    </row>
    <row r="32" spans="1:10" ht="22.5" customHeight="1">
      <c r="A32" s="11" t="str">
        <f t="shared" si="1"/>
        <v>10401</v>
      </c>
      <c r="B32" s="12" t="s">
        <v>15</v>
      </c>
      <c r="C32" s="31"/>
      <c r="D32" s="31"/>
      <c r="E32" s="12" t="str">
        <f>"姚俊毅"</f>
        <v>姚俊毅</v>
      </c>
      <c r="F32" s="32" t="s">
        <v>13</v>
      </c>
      <c r="G32" s="16"/>
      <c r="H32" s="17"/>
      <c r="I32" s="17"/>
      <c r="J32" s="17"/>
    </row>
    <row r="33" spans="1:10" ht="22.5" customHeight="1">
      <c r="A33" s="11" t="str">
        <f t="shared" si="1"/>
        <v>10401</v>
      </c>
      <c r="B33" s="12" t="s">
        <v>15</v>
      </c>
      <c r="C33" s="31"/>
      <c r="D33" s="31"/>
      <c r="E33" s="12" t="str">
        <f>"张韵涵"</f>
        <v>张韵涵</v>
      </c>
      <c r="F33" s="32" t="s">
        <v>13</v>
      </c>
      <c r="G33" s="16"/>
      <c r="H33" s="17"/>
      <c r="I33" s="17"/>
      <c r="J33" s="17"/>
    </row>
    <row r="34" spans="1:10" s="1" customFormat="1" ht="22.5" customHeight="1">
      <c r="A34" s="18" t="str">
        <f t="shared" si="1"/>
        <v>10401</v>
      </c>
      <c r="B34" s="19" t="s">
        <v>15</v>
      </c>
      <c r="C34" s="20"/>
      <c r="D34" s="20"/>
      <c r="E34" s="19" t="str">
        <f>"杨宇"</f>
        <v>杨宇</v>
      </c>
      <c r="F34" s="21" t="s">
        <v>13</v>
      </c>
      <c r="G34" s="22"/>
      <c r="H34" s="22"/>
      <c r="I34" s="22"/>
      <c r="J34" s="22"/>
    </row>
    <row r="35" spans="1:10" s="1" customFormat="1" ht="22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</row>
    <row r="36" spans="1:10" ht="22.5" customHeight="1">
      <c r="A36" s="11" t="str">
        <f>"10502"</f>
        <v>10502</v>
      </c>
      <c r="B36" s="12" t="s">
        <v>16</v>
      </c>
      <c r="C36" s="13">
        <v>2</v>
      </c>
      <c r="D36" s="13">
        <v>1</v>
      </c>
      <c r="E36" s="14" t="str">
        <f>"纪李"</f>
        <v>纪李</v>
      </c>
      <c r="F36" s="15">
        <v>84.8</v>
      </c>
      <c r="G36" s="17">
        <f>F36*0.8</f>
        <v>67.84</v>
      </c>
      <c r="H36" s="17">
        <v>94.5</v>
      </c>
      <c r="I36" s="17">
        <f>H36*0.2</f>
        <v>18.900000000000002</v>
      </c>
      <c r="J36" s="17">
        <f>G36+I36</f>
        <v>86.74000000000001</v>
      </c>
    </row>
    <row r="37" spans="1:10" ht="22.5" customHeight="1">
      <c r="A37" s="11" t="str">
        <f>"10502"</f>
        <v>10502</v>
      </c>
      <c r="B37" s="12" t="s">
        <v>16</v>
      </c>
      <c r="C37" s="31"/>
      <c r="D37" s="31"/>
      <c r="E37" s="12" t="str">
        <f>"汪子焕"</f>
        <v>汪子焕</v>
      </c>
      <c r="F37" s="32" t="s">
        <v>13</v>
      </c>
      <c r="G37" s="16"/>
      <c r="H37" s="17"/>
      <c r="I37" s="17"/>
      <c r="J37" s="17"/>
    </row>
    <row r="38" spans="1:10" s="1" customFormat="1" ht="22.5" customHeight="1">
      <c r="A38" s="23" t="str">
        <f>"10502"</f>
        <v>10502</v>
      </c>
      <c r="B38" s="14" t="s">
        <v>16</v>
      </c>
      <c r="C38" s="33"/>
      <c r="D38" s="33"/>
      <c r="E38" s="14" t="str">
        <f>"谭德方"</f>
        <v>谭德方</v>
      </c>
      <c r="F38" s="32" t="s">
        <v>13</v>
      </c>
      <c r="G38" s="16"/>
      <c r="H38" s="16"/>
      <c r="I38" s="16"/>
      <c r="J38" s="16"/>
    </row>
    <row r="39" spans="1:10" s="1" customFormat="1" ht="22.5" customHeight="1">
      <c r="A39" s="34"/>
      <c r="B39" s="35"/>
      <c r="C39" s="35"/>
      <c r="D39" s="35"/>
      <c r="E39" s="35"/>
      <c r="F39" s="35"/>
      <c r="G39" s="35"/>
      <c r="H39" s="35"/>
      <c r="I39" s="35"/>
      <c r="J39" s="36"/>
    </row>
    <row r="40" spans="1:10" ht="22.5" customHeight="1">
      <c r="A40" s="11" t="str">
        <f>"10503"</f>
        <v>10503</v>
      </c>
      <c r="B40" s="12" t="s">
        <v>16</v>
      </c>
      <c r="C40" s="13">
        <v>2</v>
      </c>
      <c r="D40" s="13">
        <v>2</v>
      </c>
      <c r="E40" s="14" t="str">
        <f>"李鹏飞"</f>
        <v>李鹏飞</v>
      </c>
      <c r="F40" s="15">
        <v>86.48</v>
      </c>
      <c r="G40" s="16">
        <f>F40*0.8</f>
        <v>69.18400000000001</v>
      </c>
      <c r="H40" s="17">
        <v>95.5</v>
      </c>
      <c r="I40" s="17">
        <f>H40*0.2</f>
        <v>19.1</v>
      </c>
      <c r="J40" s="16">
        <f>G40+I40</f>
        <v>88.28400000000002</v>
      </c>
    </row>
    <row r="41" spans="1:10" ht="22.5" customHeight="1">
      <c r="A41" s="11" t="str">
        <f>"10503"</f>
        <v>10503</v>
      </c>
      <c r="B41" s="12" t="s">
        <v>16</v>
      </c>
      <c r="C41" s="31"/>
      <c r="D41" s="31"/>
      <c r="E41" s="14" t="str">
        <f>"金雅倩"</f>
        <v>金雅倩</v>
      </c>
      <c r="F41" s="15">
        <v>85.68</v>
      </c>
      <c r="G41" s="17">
        <f>F41*0.8</f>
        <v>68.54400000000001</v>
      </c>
      <c r="H41" s="17">
        <v>94.5</v>
      </c>
      <c r="I41" s="17">
        <f>H41*0.2</f>
        <v>18.900000000000002</v>
      </c>
      <c r="J41" s="17">
        <f>G41+I41</f>
        <v>87.44400000000002</v>
      </c>
    </row>
    <row r="42" spans="1:10" ht="22.5" customHeight="1">
      <c r="A42" s="11" t="str">
        <f aca="true" t="shared" si="2" ref="A40:A45">"10503"</f>
        <v>10503</v>
      </c>
      <c r="B42" s="12" t="s">
        <v>16</v>
      </c>
      <c r="C42" s="31"/>
      <c r="D42" s="31"/>
      <c r="E42" s="12" t="str">
        <f>"王林"</f>
        <v>王林</v>
      </c>
      <c r="F42" s="32" t="s">
        <v>13</v>
      </c>
      <c r="G42" s="16"/>
      <c r="H42" s="17"/>
      <c r="I42" s="17"/>
      <c r="J42" s="17"/>
    </row>
    <row r="43" spans="1:10" ht="22.5" customHeight="1">
      <c r="A43" s="11" t="str">
        <f t="shared" si="2"/>
        <v>10503</v>
      </c>
      <c r="B43" s="12" t="s">
        <v>16</v>
      </c>
      <c r="C43" s="31"/>
      <c r="D43" s="31"/>
      <c r="E43" s="12" t="str">
        <f>"曾姝阳"</f>
        <v>曾姝阳</v>
      </c>
      <c r="F43" s="32" t="s">
        <v>13</v>
      </c>
      <c r="G43" s="16"/>
      <c r="H43" s="17"/>
      <c r="I43" s="17"/>
      <c r="J43" s="17"/>
    </row>
    <row r="44" spans="1:10" ht="22.5" customHeight="1">
      <c r="A44" s="11" t="str">
        <f t="shared" si="2"/>
        <v>10503</v>
      </c>
      <c r="B44" s="12" t="s">
        <v>16</v>
      </c>
      <c r="C44" s="31"/>
      <c r="D44" s="31"/>
      <c r="E44" s="12" t="str">
        <f>"冯晓苗"</f>
        <v>冯晓苗</v>
      </c>
      <c r="F44" s="32" t="s">
        <v>13</v>
      </c>
      <c r="G44" s="16"/>
      <c r="H44" s="17"/>
      <c r="I44" s="17"/>
      <c r="J44" s="17"/>
    </row>
    <row r="45" spans="1:10" s="1" customFormat="1" ht="22.5" customHeight="1">
      <c r="A45" s="23" t="str">
        <f t="shared" si="2"/>
        <v>10503</v>
      </c>
      <c r="B45" s="14" t="s">
        <v>16</v>
      </c>
      <c r="C45" s="33"/>
      <c r="D45" s="33"/>
      <c r="E45" s="14" t="str">
        <f>"胡婷"</f>
        <v>胡婷</v>
      </c>
      <c r="F45" s="32" t="s">
        <v>13</v>
      </c>
      <c r="G45" s="16"/>
      <c r="H45" s="16"/>
      <c r="I45" s="16"/>
      <c r="J45" s="16"/>
    </row>
    <row r="46" spans="1:10" s="1" customFormat="1" ht="22.5" customHeight="1">
      <c r="A46" s="23"/>
      <c r="B46" s="23"/>
      <c r="C46" s="23"/>
      <c r="D46" s="23"/>
      <c r="E46" s="23"/>
      <c r="F46" s="23"/>
      <c r="G46" s="23"/>
      <c r="H46" s="23"/>
      <c r="I46" s="23"/>
      <c r="J46" s="23"/>
    </row>
    <row r="47" spans="1:10" s="1" customFormat="1" ht="22.5" customHeight="1">
      <c r="A47" s="23" t="str">
        <f>"10508"</f>
        <v>10508</v>
      </c>
      <c r="B47" s="14" t="s">
        <v>16</v>
      </c>
      <c r="C47" s="23">
        <v>1</v>
      </c>
      <c r="D47" s="23">
        <v>0</v>
      </c>
      <c r="E47" s="14" t="str">
        <f>"刘明成"</f>
        <v>刘明成</v>
      </c>
      <c r="F47" s="32" t="s">
        <v>13</v>
      </c>
      <c r="G47" s="16"/>
      <c r="H47" s="16"/>
      <c r="I47" s="16"/>
      <c r="J47" s="16"/>
    </row>
    <row r="48" spans="1:10" s="1" customFormat="1" ht="22.5" customHeight="1">
      <c r="A48" s="23"/>
      <c r="B48" s="23"/>
      <c r="C48" s="23"/>
      <c r="D48" s="23"/>
      <c r="E48" s="23"/>
      <c r="F48" s="23"/>
      <c r="G48" s="23"/>
      <c r="H48" s="23"/>
      <c r="I48" s="23"/>
      <c r="J48" s="23"/>
    </row>
    <row r="49" spans="1:10" ht="22.5" customHeight="1">
      <c r="A49" s="11" t="str">
        <f>"10601"</f>
        <v>10601</v>
      </c>
      <c r="B49" s="12" t="s">
        <v>17</v>
      </c>
      <c r="C49" s="13">
        <v>1</v>
      </c>
      <c r="D49" s="13">
        <v>0</v>
      </c>
      <c r="E49" s="12" t="str">
        <f>"苏思文"</f>
        <v>苏思文</v>
      </c>
      <c r="F49" s="32" t="s">
        <v>13</v>
      </c>
      <c r="G49" s="16"/>
      <c r="H49" s="17"/>
      <c r="I49" s="17"/>
      <c r="J49" s="17"/>
    </row>
    <row r="50" spans="1:10" ht="22.5" customHeight="1">
      <c r="A50" s="11" t="str">
        <f>"10601"</f>
        <v>10601</v>
      </c>
      <c r="B50" s="12" t="s">
        <v>17</v>
      </c>
      <c r="C50" s="31"/>
      <c r="D50" s="31"/>
      <c r="E50" s="12" t="str">
        <f>"刘文辉"</f>
        <v>刘文辉</v>
      </c>
      <c r="F50" s="32" t="s">
        <v>13</v>
      </c>
      <c r="G50" s="16"/>
      <c r="H50" s="17"/>
      <c r="I50" s="17"/>
      <c r="J50" s="17"/>
    </row>
    <row r="51" spans="1:10" ht="22.5" customHeight="1">
      <c r="A51" s="11" t="str">
        <f>"10601"</f>
        <v>10601</v>
      </c>
      <c r="B51" s="12" t="s">
        <v>17</v>
      </c>
      <c r="C51" s="31"/>
      <c r="D51" s="31"/>
      <c r="E51" s="12" t="str">
        <f>"林磊"</f>
        <v>林磊</v>
      </c>
      <c r="F51" s="32" t="s">
        <v>13</v>
      </c>
      <c r="G51" s="16"/>
      <c r="H51" s="17"/>
      <c r="I51" s="17"/>
      <c r="J51" s="17"/>
    </row>
    <row r="52" spans="1:10" s="1" customFormat="1" ht="22.5" customHeight="1">
      <c r="A52" s="23" t="str">
        <f>"10601"</f>
        <v>10601</v>
      </c>
      <c r="B52" s="14" t="s">
        <v>17</v>
      </c>
      <c r="C52" s="33"/>
      <c r="D52" s="33"/>
      <c r="E52" s="14" t="str">
        <f>"钟清慧"</f>
        <v>钟清慧</v>
      </c>
      <c r="F52" s="32" t="s">
        <v>13</v>
      </c>
      <c r="G52" s="16"/>
      <c r="H52" s="16"/>
      <c r="I52" s="16"/>
      <c r="J52" s="16"/>
    </row>
    <row r="53" spans="1:10" s="1" customFormat="1" ht="22.5" customHeight="1">
      <c r="A53" s="34"/>
      <c r="B53" s="35"/>
      <c r="C53" s="35"/>
      <c r="D53" s="35"/>
      <c r="E53" s="35"/>
      <c r="F53" s="35"/>
      <c r="G53" s="35"/>
      <c r="H53" s="35"/>
      <c r="I53" s="35"/>
      <c r="J53" s="36"/>
    </row>
    <row r="54" spans="1:10" ht="22.5" customHeight="1">
      <c r="A54" s="11" t="str">
        <f>"10701"</f>
        <v>10701</v>
      </c>
      <c r="B54" s="12" t="s">
        <v>18</v>
      </c>
      <c r="C54" s="13">
        <v>1</v>
      </c>
      <c r="D54" s="13">
        <v>1</v>
      </c>
      <c r="E54" s="14" t="str">
        <f>"何璐璐"</f>
        <v>何璐璐</v>
      </c>
      <c r="F54" s="15">
        <v>82</v>
      </c>
      <c r="G54" s="17">
        <f>F54*0.8</f>
        <v>65.60000000000001</v>
      </c>
      <c r="H54" s="17">
        <v>92.5</v>
      </c>
      <c r="I54" s="17">
        <f>H54*0.2</f>
        <v>18.5</v>
      </c>
      <c r="J54" s="17">
        <f>G54+I54</f>
        <v>84.10000000000001</v>
      </c>
    </row>
    <row r="55" spans="1:10" ht="22.5" customHeight="1">
      <c r="A55" s="11" t="str">
        <f>"10701"</f>
        <v>10701</v>
      </c>
      <c r="B55" s="12" t="s">
        <v>18</v>
      </c>
      <c r="C55" s="31"/>
      <c r="D55" s="31"/>
      <c r="E55" s="12" t="str">
        <f>"黄亚威"</f>
        <v>黄亚威</v>
      </c>
      <c r="F55" s="32" t="s">
        <v>13</v>
      </c>
      <c r="G55" s="16"/>
      <c r="H55" s="17"/>
      <c r="I55" s="17"/>
      <c r="J55" s="17"/>
    </row>
    <row r="56" spans="1:10" ht="22.5" customHeight="1">
      <c r="A56" s="11" t="str">
        <f>"10701"</f>
        <v>10701</v>
      </c>
      <c r="B56" s="12" t="s">
        <v>18</v>
      </c>
      <c r="C56" s="31"/>
      <c r="D56" s="31"/>
      <c r="E56" s="12" t="str">
        <f>"王亚茹"</f>
        <v>王亚茹</v>
      </c>
      <c r="F56" s="32" t="s">
        <v>13</v>
      </c>
      <c r="G56" s="16"/>
      <c r="H56" s="17"/>
      <c r="I56" s="17"/>
      <c r="J56" s="17"/>
    </row>
    <row r="57" spans="1:10" ht="22.5" customHeight="1">
      <c r="A57" s="11" t="str">
        <f>"10701"</f>
        <v>10701</v>
      </c>
      <c r="B57" s="12" t="s">
        <v>18</v>
      </c>
      <c r="C57" s="31"/>
      <c r="D57" s="31"/>
      <c r="E57" s="12" t="str">
        <f>"李坤杰"</f>
        <v>李坤杰</v>
      </c>
      <c r="F57" s="32" t="s">
        <v>13</v>
      </c>
      <c r="G57" s="16"/>
      <c r="H57" s="17"/>
      <c r="I57" s="17"/>
      <c r="J57" s="17"/>
    </row>
    <row r="58" spans="1:10" s="1" customFormat="1" ht="22.5" customHeight="1">
      <c r="A58" s="23" t="str">
        <f>"10701"</f>
        <v>10701</v>
      </c>
      <c r="B58" s="14" t="s">
        <v>18</v>
      </c>
      <c r="C58" s="33"/>
      <c r="D58" s="33"/>
      <c r="E58" s="14" t="str">
        <f>"张慧颖"</f>
        <v>张慧颖</v>
      </c>
      <c r="F58" s="32" t="s">
        <v>13</v>
      </c>
      <c r="G58" s="16"/>
      <c r="H58" s="16"/>
      <c r="I58" s="16"/>
      <c r="J58" s="16"/>
    </row>
    <row r="59" spans="1:10" s="1" customFormat="1" ht="22.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</row>
    <row r="60" spans="1:10" ht="22.5" customHeight="1">
      <c r="A60" s="11" t="str">
        <f aca="true" t="shared" si="3" ref="A60:A67">"10801"</f>
        <v>10801</v>
      </c>
      <c r="B60" s="12" t="s">
        <v>19</v>
      </c>
      <c r="C60" s="13">
        <v>1</v>
      </c>
      <c r="D60" s="13">
        <v>1</v>
      </c>
      <c r="E60" s="14" t="str">
        <f>"陈念"</f>
        <v>陈念</v>
      </c>
      <c r="F60" s="15">
        <v>85.44</v>
      </c>
      <c r="G60" s="16">
        <f>F60*0.8</f>
        <v>68.352</v>
      </c>
      <c r="H60" s="17">
        <v>93.5</v>
      </c>
      <c r="I60" s="17">
        <f>H60*0.2</f>
        <v>18.7</v>
      </c>
      <c r="J60" s="16">
        <f>G60+I60</f>
        <v>87.052</v>
      </c>
    </row>
    <row r="61" spans="1:10" ht="22.5" customHeight="1">
      <c r="A61" s="11" t="str">
        <f t="shared" si="3"/>
        <v>10801</v>
      </c>
      <c r="B61" s="12" t="s">
        <v>19</v>
      </c>
      <c r="C61" s="31"/>
      <c r="D61" s="31"/>
      <c r="E61" s="14" t="str">
        <f>"李梦"</f>
        <v>李梦</v>
      </c>
      <c r="F61" s="15">
        <v>83.9</v>
      </c>
      <c r="G61" s="17">
        <f>F61*0.8</f>
        <v>67.12</v>
      </c>
      <c r="H61" s="17">
        <v>93</v>
      </c>
      <c r="I61" s="17">
        <f>H61*0.2</f>
        <v>18.6</v>
      </c>
      <c r="J61" s="17">
        <f>G61+I61</f>
        <v>85.72</v>
      </c>
    </row>
    <row r="62" spans="1:10" ht="22.5" customHeight="1">
      <c r="A62" s="11" t="str">
        <f t="shared" si="3"/>
        <v>10801</v>
      </c>
      <c r="B62" s="12" t="s">
        <v>19</v>
      </c>
      <c r="C62" s="31"/>
      <c r="D62" s="31"/>
      <c r="E62" s="14" t="str">
        <f>"谭雨婷"</f>
        <v>谭雨婷</v>
      </c>
      <c r="F62" s="15">
        <v>82.08</v>
      </c>
      <c r="G62" s="17">
        <f>F62*0.8</f>
        <v>65.664</v>
      </c>
      <c r="H62" s="17">
        <v>92</v>
      </c>
      <c r="I62" s="17">
        <f>H62*0.2</f>
        <v>18.400000000000002</v>
      </c>
      <c r="J62" s="17">
        <f>G62+I62</f>
        <v>84.06400000000001</v>
      </c>
    </row>
    <row r="63" spans="1:10" ht="22.5" customHeight="1">
      <c r="A63" s="11" t="str">
        <f t="shared" si="3"/>
        <v>10801</v>
      </c>
      <c r="B63" s="12" t="s">
        <v>19</v>
      </c>
      <c r="C63" s="31"/>
      <c r="D63" s="31"/>
      <c r="E63" s="14" t="str">
        <f>"胡启利"</f>
        <v>胡启利</v>
      </c>
      <c r="F63" s="15">
        <v>80.92</v>
      </c>
      <c r="G63" s="17">
        <f>F63*0.8</f>
        <v>64.736</v>
      </c>
      <c r="H63" s="17">
        <v>93</v>
      </c>
      <c r="I63" s="17">
        <f>H63*0.2</f>
        <v>18.6</v>
      </c>
      <c r="J63" s="17">
        <f>G63+I63</f>
        <v>83.33600000000001</v>
      </c>
    </row>
    <row r="64" spans="1:10" ht="22.5" customHeight="1">
      <c r="A64" s="11" t="str">
        <f t="shared" si="3"/>
        <v>10801</v>
      </c>
      <c r="B64" s="12" t="s">
        <v>19</v>
      </c>
      <c r="C64" s="31"/>
      <c r="D64" s="31"/>
      <c r="E64" s="12" t="str">
        <f>"盛洋洋"</f>
        <v>盛洋洋</v>
      </c>
      <c r="F64" s="32" t="s">
        <v>13</v>
      </c>
      <c r="G64" s="16"/>
      <c r="H64" s="17"/>
      <c r="I64" s="17"/>
      <c r="J64" s="17"/>
    </row>
    <row r="65" spans="1:10" ht="22.5" customHeight="1">
      <c r="A65" s="11" t="str">
        <f t="shared" si="3"/>
        <v>10801</v>
      </c>
      <c r="B65" s="12" t="s">
        <v>19</v>
      </c>
      <c r="C65" s="31"/>
      <c r="D65" s="31"/>
      <c r="E65" s="12" t="str">
        <f>"韩段"</f>
        <v>韩段</v>
      </c>
      <c r="F65" s="32" t="s">
        <v>13</v>
      </c>
      <c r="G65" s="16"/>
      <c r="H65" s="17"/>
      <c r="I65" s="17"/>
      <c r="J65" s="17"/>
    </row>
    <row r="66" spans="1:10" ht="22.5" customHeight="1">
      <c r="A66" s="11" t="str">
        <f t="shared" si="3"/>
        <v>10801</v>
      </c>
      <c r="B66" s="12" t="s">
        <v>19</v>
      </c>
      <c r="C66" s="31"/>
      <c r="D66" s="31"/>
      <c r="E66" s="12" t="str">
        <f>"龚丹丹"</f>
        <v>龚丹丹</v>
      </c>
      <c r="F66" s="32" t="s">
        <v>13</v>
      </c>
      <c r="G66" s="16"/>
      <c r="H66" s="17"/>
      <c r="I66" s="17"/>
      <c r="J66" s="17"/>
    </row>
    <row r="67" spans="1:10" s="1" customFormat="1" ht="22.5" customHeight="1">
      <c r="A67" s="23" t="str">
        <f t="shared" si="3"/>
        <v>10801</v>
      </c>
      <c r="B67" s="14" t="s">
        <v>19</v>
      </c>
      <c r="C67" s="33"/>
      <c r="D67" s="33"/>
      <c r="E67" s="14" t="str">
        <f>"陈然"</f>
        <v>陈然</v>
      </c>
      <c r="F67" s="32" t="s">
        <v>13</v>
      </c>
      <c r="G67" s="16"/>
      <c r="H67" s="16"/>
      <c r="I67" s="16"/>
      <c r="J67" s="16"/>
    </row>
    <row r="68" spans="1:10" s="1" customFormat="1" ht="22.5" customHeight="1">
      <c r="A68" s="34"/>
      <c r="B68" s="35"/>
      <c r="C68" s="35"/>
      <c r="D68" s="35"/>
      <c r="E68" s="35"/>
      <c r="F68" s="35"/>
      <c r="G68" s="35"/>
      <c r="H68" s="35"/>
      <c r="I68" s="35"/>
      <c r="J68" s="36"/>
    </row>
    <row r="69" spans="1:10" ht="22.5" customHeight="1">
      <c r="A69" s="11" t="str">
        <f aca="true" t="shared" si="4" ref="A69:A75">"10901"</f>
        <v>10901</v>
      </c>
      <c r="B69" s="12" t="s">
        <v>20</v>
      </c>
      <c r="C69" s="13">
        <v>1</v>
      </c>
      <c r="D69" s="13">
        <v>1</v>
      </c>
      <c r="E69" s="14" t="str">
        <f>"韩非凡"</f>
        <v>韩非凡</v>
      </c>
      <c r="F69" s="15">
        <v>84.58</v>
      </c>
      <c r="G69" s="16">
        <f>F69*0.8</f>
        <v>67.664</v>
      </c>
      <c r="H69" s="17">
        <v>92.5</v>
      </c>
      <c r="I69" s="17">
        <f aca="true" t="shared" si="5" ref="I69:I77">H69*0.2</f>
        <v>18.5</v>
      </c>
      <c r="J69" s="16">
        <f aca="true" t="shared" si="6" ref="J69:J77">G69+I69</f>
        <v>86.164</v>
      </c>
    </row>
    <row r="70" spans="1:10" ht="22.5" customHeight="1">
      <c r="A70" s="11" t="str">
        <f t="shared" si="4"/>
        <v>10901</v>
      </c>
      <c r="B70" s="12" t="s">
        <v>20</v>
      </c>
      <c r="C70" s="31"/>
      <c r="D70" s="31"/>
      <c r="E70" s="14" t="str">
        <f>"谌潇"</f>
        <v>谌潇</v>
      </c>
      <c r="F70" s="15">
        <v>84.38</v>
      </c>
      <c r="G70" s="17">
        <f>F70*0.8</f>
        <v>67.504</v>
      </c>
      <c r="H70" s="17">
        <v>93</v>
      </c>
      <c r="I70" s="17">
        <f t="shared" si="5"/>
        <v>18.6</v>
      </c>
      <c r="J70" s="17">
        <f t="shared" si="6"/>
        <v>86.10400000000001</v>
      </c>
    </row>
    <row r="71" spans="1:10" ht="22.5" customHeight="1">
      <c r="A71" s="11" t="str">
        <f t="shared" si="4"/>
        <v>10901</v>
      </c>
      <c r="B71" s="12" t="s">
        <v>20</v>
      </c>
      <c r="C71" s="31"/>
      <c r="D71" s="31"/>
      <c r="E71" s="14" t="str">
        <f>"严欣悦"</f>
        <v>严欣悦</v>
      </c>
      <c r="F71" s="15">
        <v>83.84</v>
      </c>
      <c r="G71" s="17">
        <f>F71*0.8</f>
        <v>67.072</v>
      </c>
      <c r="H71" s="17">
        <v>92.5</v>
      </c>
      <c r="I71" s="17">
        <f t="shared" si="5"/>
        <v>18.5</v>
      </c>
      <c r="J71" s="17">
        <f t="shared" si="6"/>
        <v>85.572</v>
      </c>
    </row>
    <row r="72" spans="1:10" ht="22.5" customHeight="1">
      <c r="A72" s="11" t="str">
        <f t="shared" si="4"/>
        <v>10901</v>
      </c>
      <c r="B72" s="12" t="s">
        <v>20</v>
      </c>
      <c r="C72" s="31"/>
      <c r="D72" s="31"/>
      <c r="E72" s="14" t="str">
        <f>"陈婷"</f>
        <v>陈婷</v>
      </c>
      <c r="F72" s="15">
        <v>82.4</v>
      </c>
      <c r="G72" s="17">
        <f>F72*0.8</f>
        <v>65.92</v>
      </c>
      <c r="H72" s="17">
        <v>92.5</v>
      </c>
      <c r="I72" s="17">
        <f t="shared" si="5"/>
        <v>18.5</v>
      </c>
      <c r="J72" s="17">
        <f t="shared" si="6"/>
        <v>84.42</v>
      </c>
    </row>
    <row r="73" spans="1:10" ht="22.5" customHeight="1">
      <c r="A73" s="23" t="str">
        <f t="shared" si="4"/>
        <v>10901</v>
      </c>
      <c r="B73" s="14" t="s">
        <v>20</v>
      </c>
      <c r="C73" s="31"/>
      <c r="D73" s="31"/>
      <c r="E73" s="14" t="str">
        <f>"陈圣"</f>
        <v>陈圣</v>
      </c>
      <c r="F73" s="32">
        <v>70.02</v>
      </c>
      <c r="G73" s="16">
        <f>F73*0.8</f>
        <v>56.016</v>
      </c>
      <c r="H73" s="16">
        <v>92.5</v>
      </c>
      <c r="I73" s="16">
        <f t="shared" si="5"/>
        <v>18.5</v>
      </c>
      <c r="J73" s="16">
        <f t="shared" si="6"/>
        <v>74.51599999999999</v>
      </c>
    </row>
    <row r="74" spans="1:10" ht="22.5" customHeight="1">
      <c r="A74" s="11" t="str">
        <f t="shared" si="4"/>
        <v>10901</v>
      </c>
      <c r="B74" s="12" t="s">
        <v>20</v>
      </c>
      <c r="C74" s="31"/>
      <c r="D74" s="31"/>
      <c r="E74" s="12" t="str">
        <f>"杨淼"</f>
        <v>杨淼</v>
      </c>
      <c r="F74" s="32" t="s">
        <v>13</v>
      </c>
      <c r="G74" s="16"/>
      <c r="H74" s="17"/>
      <c r="I74" s="17"/>
      <c r="J74" s="17"/>
    </row>
    <row r="75" spans="1:10" s="1" customFormat="1" ht="22.5" customHeight="1">
      <c r="A75" s="23" t="str">
        <f t="shared" si="4"/>
        <v>10901</v>
      </c>
      <c r="B75" s="14" t="s">
        <v>20</v>
      </c>
      <c r="C75" s="33"/>
      <c r="D75" s="33"/>
      <c r="E75" s="14" t="str">
        <f>"张赛赛"</f>
        <v>张赛赛</v>
      </c>
      <c r="F75" s="32" t="s">
        <v>13</v>
      </c>
      <c r="G75" s="16"/>
      <c r="H75" s="16"/>
      <c r="I75" s="16"/>
      <c r="J75" s="16"/>
    </row>
    <row r="76" spans="1:10" s="1" customFormat="1" ht="22.5" customHeight="1">
      <c r="A76" s="34"/>
      <c r="B76" s="35"/>
      <c r="C76" s="35"/>
      <c r="D76" s="35"/>
      <c r="E76" s="35"/>
      <c r="F76" s="35"/>
      <c r="G76" s="35"/>
      <c r="H76" s="35"/>
      <c r="I76" s="35"/>
      <c r="J76" s="36"/>
    </row>
    <row r="77" spans="1:10" s="1" customFormat="1" ht="22.5" customHeight="1">
      <c r="A77" s="23" t="str">
        <f>"11001"</f>
        <v>11001</v>
      </c>
      <c r="B77" s="14" t="s">
        <v>21</v>
      </c>
      <c r="C77" s="23">
        <v>1</v>
      </c>
      <c r="D77" s="23">
        <v>0</v>
      </c>
      <c r="E77" s="14" t="str">
        <f>"毕文清"</f>
        <v>毕文清</v>
      </c>
      <c r="F77" s="32" t="s">
        <v>13</v>
      </c>
      <c r="G77" s="16"/>
      <c r="H77" s="16"/>
      <c r="I77" s="16"/>
      <c r="J77" s="16"/>
    </row>
    <row r="78" spans="1:10" s="1" customFormat="1" ht="22.5" customHeight="1">
      <c r="A78" s="34"/>
      <c r="B78" s="35"/>
      <c r="C78" s="35"/>
      <c r="D78" s="35"/>
      <c r="E78" s="35"/>
      <c r="F78" s="35"/>
      <c r="G78" s="35"/>
      <c r="H78" s="35"/>
      <c r="I78" s="35"/>
      <c r="J78" s="36"/>
    </row>
    <row r="79" spans="1:10" ht="22.5" customHeight="1">
      <c r="A79" s="11" t="str">
        <f>"11002"</f>
        <v>11002</v>
      </c>
      <c r="B79" s="12" t="s">
        <v>21</v>
      </c>
      <c r="C79" s="13">
        <v>3</v>
      </c>
      <c r="D79" s="13">
        <v>2</v>
      </c>
      <c r="E79" s="14" t="str">
        <f>"柯美俭"</f>
        <v>柯美俭</v>
      </c>
      <c r="F79" s="15">
        <v>86.32</v>
      </c>
      <c r="G79" s="16">
        <f>F79*0.8</f>
        <v>69.056</v>
      </c>
      <c r="H79" s="17">
        <v>94.5</v>
      </c>
      <c r="I79" s="17">
        <f>H79*0.2</f>
        <v>18.900000000000002</v>
      </c>
      <c r="J79" s="16">
        <f>G79+I79</f>
        <v>87.956</v>
      </c>
    </row>
    <row r="80" spans="1:10" s="1" customFormat="1" ht="22.5" customHeight="1">
      <c r="A80" s="11" t="str">
        <f>"11002"</f>
        <v>11002</v>
      </c>
      <c r="B80" s="12" t="s">
        <v>21</v>
      </c>
      <c r="C80" s="31"/>
      <c r="D80" s="31"/>
      <c r="E80" s="14" t="str">
        <f>"王金涛"</f>
        <v>王金涛</v>
      </c>
      <c r="F80" s="15">
        <v>85.6</v>
      </c>
      <c r="G80" s="17">
        <f>F80*0.8</f>
        <v>68.48</v>
      </c>
      <c r="H80" s="17">
        <v>95.5</v>
      </c>
      <c r="I80" s="17">
        <f>H80*0.2</f>
        <v>19.1</v>
      </c>
      <c r="J80" s="17">
        <f>G80+I80</f>
        <v>87.58000000000001</v>
      </c>
    </row>
    <row r="81" spans="1:10" s="1" customFormat="1" ht="22.5" customHeight="1">
      <c r="A81" s="23" t="str">
        <f>"11002"</f>
        <v>11002</v>
      </c>
      <c r="B81" s="14" t="s">
        <v>21</v>
      </c>
      <c r="C81" s="33"/>
      <c r="D81" s="33"/>
      <c r="E81" s="14" t="str">
        <f>"郭亚兵"</f>
        <v>郭亚兵</v>
      </c>
      <c r="F81" s="32" t="s">
        <v>13</v>
      </c>
      <c r="G81" s="16"/>
      <c r="H81" s="16"/>
      <c r="I81" s="16"/>
      <c r="J81" s="16"/>
    </row>
    <row r="82" spans="1:10" s="1" customFormat="1" ht="22.5" customHeight="1">
      <c r="A82" s="34"/>
      <c r="B82" s="35"/>
      <c r="C82" s="35"/>
      <c r="D82" s="35"/>
      <c r="E82" s="35"/>
      <c r="F82" s="35"/>
      <c r="G82" s="35"/>
      <c r="H82" s="35"/>
      <c r="I82" s="35"/>
      <c r="J82" s="36"/>
    </row>
    <row r="83" spans="1:10" ht="22.5" customHeight="1">
      <c r="A83" s="11" t="str">
        <f>"11003"</f>
        <v>11003</v>
      </c>
      <c r="B83" s="12" t="s">
        <v>21</v>
      </c>
      <c r="C83" s="13">
        <v>1</v>
      </c>
      <c r="D83" s="13">
        <v>1</v>
      </c>
      <c r="E83" s="14" t="str">
        <f>"田芳姚"</f>
        <v>田芳姚</v>
      </c>
      <c r="F83" s="15">
        <v>86.02</v>
      </c>
      <c r="G83" s="16">
        <f>F83*0.8</f>
        <v>68.816</v>
      </c>
      <c r="H83" s="17">
        <v>94.5</v>
      </c>
      <c r="I83" s="17">
        <f>H83*0.2</f>
        <v>18.900000000000002</v>
      </c>
      <c r="J83" s="16">
        <f>G83+I83</f>
        <v>87.71600000000001</v>
      </c>
    </row>
    <row r="84" spans="1:10" ht="22.5" customHeight="1">
      <c r="A84" s="11" t="str">
        <f>"11003"</f>
        <v>11003</v>
      </c>
      <c r="B84" s="12" t="s">
        <v>21</v>
      </c>
      <c r="C84" s="31"/>
      <c r="D84" s="31"/>
      <c r="E84" s="14" t="str">
        <f>"佘慧"</f>
        <v>佘慧</v>
      </c>
      <c r="F84" s="15">
        <v>84.94</v>
      </c>
      <c r="G84" s="17">
        <f>F84*0.8</f>
        <v>67.952</v>
      </c>
      <c r="H84" s="17">
        <v>94.5</v>
      </c>
      <c r="I84" s="17">
        <f>H84*0.2</f>
        <v>18.900000000000002</v>
      </c>
      <c r="J84" s="17">
        <f>G84+I84</f>
        <v>86.852</v>
      </c>
    </row>
    <row r="85" spans="1:10" ht="22.5" customHeight="1">
      <c r="A85" s="11" t="str">
        <f>"11003"</f>
        <v>11003</v>
      </c>
      <c r="B85" s="12" t="s">
        <v>21</v>
      </c>
      <c r="C85" s="31"/>
      <c r="D85" s="31"/>
      <c r="E85" s="14" t="str">
        <f>"余依"</f>
        <v>余依</v>
      </c>
      <c r="F85" s="15">
        <v>83.16</v>
      </c>
      <c r="G85" s="17">
        <f>F85*0.8</f>
        <v>66.528</v>
      </c>
      <c r="H85" s="17">
        <v>95.5</v>
      </c>
      <c r="I85" s="17">
        <f>H85*0.2</f>
        <v>19.1</v>
      </c>
      <c r="J85" s="17">
        <f>G85+I85</f>
        <v>85.62800000000001</v>
      </c>
    </row>
    <row r="86" spans="1:10" ht="22.5" customHeight="1">
      <c r="A86" s="11" t="str">
        <f>"11003"</f>
        <v>11003</v>
      </c>
      <c r="B86" s="12" t="s">
        <v>21</v>
      </c>
      <c r="C86" s="31"/>
      <c r="D86" s="31"/>
      <c r="E86" s="12" t="str">
        <f>"肖晓"</f>
        <v>肖晓</v>
      </c>
      <c r="F86" s="32" t="s">
        <v>13</v>
      </c>
      <c r="G86" s="16"/>
      <c r="H86" s="17"/>
      <c r="I86" s="17"/>
      <c r="J86" s="17"/>
    </row>
    <row r="87" spans="1:10" s="1" customFormat="1" ht="22.5" customHeight="1">
      <c r="A87" s="23" t="str">
        <f>"11003"</f>
        <v>11003</v>
      </c>
      <c r="B87" s="14" t="s">
        <v>21</v>
      </c>
      <c r="C87" s="33"/>
      <c r="D87" s="33"/>
      <c r="E87" s="14" t="str">
        <f>"诸海叶"</f>
        <v>诸海叶</v>
      </c>
      <c r="F87" s="32" t="s">
        <v>13</v>
      </c>
      <c r="G87" s="16"/>
      <c r="H87" s="16"/>
      <c r="I87" s="16"/>
      <c r="J87" s="16"/>
    </row>
    <row r="88" spans="1:10" s="1" customFormat="1" ht="22.5" customHeight="1">
      <c r="A88" s="34"/>
      <c r="B88" s="35"/>
      <c r="C88" s="35"/>
      <c r="D88" s="35"/>
      <c r="E88" s="35"/>
      <c r="F88" s="35"/>
      <c r="G88" s="35"/>
      <c r="H88" s="35"/>
      <c r="I88" s="35"/>
      <c r="J88" s="36"/>
    </row>
    <row r="89" spans="1:10" ht="22.5" customHeight="1">
      <c r="A89" s="11" t="str">
        <f>"11004"</f>
        <v>11004</v>
      </c>
      <c r="B89" s="12" t="s">
        <v>21</v>
      </c>
      <c r="C89" s="13">
        <v>2</v>
      </c>
      <c r="D89" s="13">
        <v>1</v>
      </c>
      <c r="E89" s="14" t="str">
        <f>"张烨"</f>
        <v>张烨</v>
      </c>
      <c r="F89" s="15">
        <v>85.66</v>
      </c>
      <c r="G89" s="17">
        <f>F89*0.8</f>
        <v>68.528</v>
      </c>
      <c r="H89" s="17">
        <v>94</v>
      </c>
      <c r="I89" s="17">
        <f>H89*0.2</f>
        <v>18.8</v>
      </c>
      <c r="J89" s="17">
        <f>G89+I89</f>
        <v>87.328</v>
      </c>
    </row>
    <row r="90" spans="1:10" s="1" customFormat="1" ht="22.5" customHeight="1">
      <c r="A90" s="23" t="str">
        <f>"11004"</f>
        <v>11004</v>
      </c>
      <c r="B90" s="14" t="s">
        <v>21</v>
      </c>
      <c r="C90" s="33"/>
      <c r="D90" s="33"/>
      <c r="E90" s="14" t="str">
        <f>"粟登权"</f>
        <v>粟登权</v>
      </c>
      <c r="F90" s="32" t="s">
        <v>13</v>
      </c>
      <c r="G90" s="16"/>
      <c r="H90" s="16"/>
      <c r="I90" s="16"/>
      <c r="J90" s="16"/>
    </row>
    <row r="91" spans="1:10" s="1" customFormat="1" ht="22.5" customHeight="1">
      <c r="A91" s="34"/>
      <c r="B91" s="35"/>
      <c r="C91" s="35"/>
      <c r="D91" s="35"/>
      <c r="E91" s="35"/>
      <c r="F91" s="35"/>
      <c r="G91" s="35"/>
      <c r="H91" s="35"/>
      <c r="I91" s="35"/>
      <c r="J91" s="36"/>
    </row>
    <row r="92" spans="1:10" ht="22.5" customHeight="1">
      <c r="A92" s="11" t="str">
        <f>"11005"</f>
        <v>11005</v>
      </c>
      <c r="B92" s="12" t="s">
        <v>21</v>
      </c>
      <c r="C92" s="13">
        <v>2</v>
      </c>
      <c r="D92" s="13">
        <v>1</v>
      </c>
      <c r="E92" s="14" t="str">
        <f>"钱梦雅"</f>
        <v>钱梦雅</v>
      </c>
      <c r="F92" s="15">
        <v>86.56</v>
      </c>
      <c r="G92" s="17">
        <f>F92*0.8</f>
        <v>69.248</v>
      </c>
      <c r="H92" s="17">
        <v>94.5</v>
      </c>
      <c r="I92" s="17">
        <f>H92*0.2</f>
        <v>18.900000000000002</v>
      </c>
      <c r="J92" s="17">
        <f>G92+I92</f>
        <v>88.14800000000001</v>
      </c>
    </row>
    <row r="93" spans="1:10" ht="22.5" customHeight="1">
      <c r="A93" s="11" t="str">
        <f>"11005"</f>
        <v>11005</v>
      </c>
      <c r="B93" s="12" t="s">
        <v>21</v>
      </c>
      <c r="C93" s="31"/>
      <c r="D93" s="31"/>
      <c r="E93" s="12" t="str">
        <f>"翟学新"</f>
        <v>翟学新</v>
      </c>
      <c r="F93" s="32" t="s">
        <v>13</v>
      </c>
      <c r="G93" s="16"/>
      <c r="H93" s="17"/>
      <c r="I93" s="17"/>
      <c r="J93" s="17"/>
    </row>
    <row r="94" spans="1:10" ht="22.5" customHeight="1">
      <c r="A94" s="11" t="str">
        <f>"11005"</f>
        <v>11005</v>
      </c>
      <c r="B94" s="12" t="s">
        <v>21</v>
      </c>
      <c r="C94" s="31"/>
      <c r="D94" s="31"/>
      <c r="E94" s="12" t="str">
        <f>"杨武"</f>
        <v>杨武</v>
      </c>
      <c r="F94" s="32" t="s">
        <v>13</v>
      </c>
      <c r="G94" s="16"/>
      <c r="H94" s="17"/>
      <c r="I94" s="17"/>
      <c r="J94" s="17"/>
    </row>
    <row r="95" spans="1:10" ht="22.5" customHeight="1">
      <c r="A95" s="11" t="str">
        <f>"11005"</f>
        <v>11005</v>
      </c>
      <c r="B95" s="12" t="s">
        <v>21</v>
      </c>
      <c r="C95" s="31"/>
      <c r="D95" s="31"/>
      <c r="E95" s="12" t="str">
        <f>"蔡渺"</f>
        <v>蔡渺</v>
      </c>
      <c r="F95" s="32" t="s">
        <v>13</v>
      </c>
      <c r="G95" s="16"/>
      <c r="H95" s="17"/>
      <c r="I95" s="17"/>
      <c r="J95" s="17"/>
    </row>
    <row r="96" spans="1:10" s="1" customFormat="1" ht="22.5" customHeight="1">
      <c r="A96" s="23" t="str">
        <f>"11005"</f>
        <v>11005</v>
      </c>
      <c r="B96" s="14" t="s">
        <v>21</v>
      </c>
      <c r="C96" s="33"/>
      <c r="D96" s="33"/>
      <c r="E96" s="14" t="str">
        <f>"杨运真"</f>
        <v>杨运真</v>
      </c>
      <c r="F96" s="32" t="s">
        <v>13</v>
      </c>
      <c r="G96" s="16"/>
      <c r="H96" s="16"/>
      <c r="I96" s="16"/>
      <c r="J96" s="16"/>
    </row>
    <row r="97" spans="1:10" s="1" customFormat="1" ht="22.5" customHeight="1">
      <c r="A97" s="34"/>
      <c r="B97" s="35"/>
      <c r="C97" s="35"/>
      <c r="D97" s="35"/>
      <c r="E97" s="35"/>
      <c r="F97" s="35"/>
      <c r="G97" s="35"/>
      <c r="H97" s="35"/>
      <c r="I97" s="35"/>
      <c r="J97" s="36"/>
    </row>
    <row r="98" spans="1:10" ht="22.5" customHeight="1">
      <c r="A98" s="11" t="str">
        <f>"11006"</f>
        <v>11006</v>
      </c>
      <c r="B98" s="12" t="s">
        <v>21</v>
      </c>
      <c r="C98" s="13">
        <v>1</v>
      </c>
      <c r="D98" s="13">
        <v>0</v>
      </c>
      <c r="E98" s="12" t="str">
        <f>"柯紫玲"</f>
        <v>柯紫玲</v>
      </c>
      <c r="F98" s="32" t="s">
        <v>13</v>
      </c>
      <c r="G98" s="16"/>
      <c r="H98" s="17"/>
      <c r="I98" s="17"/>
      <c r="J98" s="17"/>
    </row>
    <row r="99" spans="1:10" s="1" customFormat="1" ht="22.5" customHeight="1">
      <c r="A99" s="23" t="str">
        <f>"11006"</f>
        <v>11006</v>
      </c>
      <c r="B99" s="14" t="s">
        <v>21</v>
      </c>
      <c r="C99" s="33"/>
      <c r="D99" s="33"/>
      <c r="E99" s="14" t="str">
        <f>"柯静"</f>
        <v>柯静</v>
      </c>
      <c r="F99" s="32" t="s">
        <v>13</v>
      </c>
      <c r="G99" s="16"/>
      <c r="H99" s="16"/>
      <c r="I99" s="16"/>
      <c r="J99" s="16"/>
    </row>
    <row r="100" spans="1:10" s="1" customFormat="1" ht="22.5" customHeight="1">
      <c r="A100" s="34"/>
      <c r="B100" s="35"/>
      <c r="C100" s="35"/>
      <c r="D100" s="35"/>
      <c r="E100" s="35"/>
      <c r="F100" s="35"/>
      <c r="G100" s="35"/>
      <c r="H100" s="35"/>
      <c r="I100" s="35"/>
      <c r="J100" s="36"/>
    </row>
    <row r="101" spans="1:10" s="1" customFormat="1" ht="22.5" customHeight="1">
      <c r="A101" s="23" t="str">
        <f>"11007"</f>
        <v>11007</v>
      </c>
      <c r="B101" s="14" t="s">
        <v>21</v>
      </c>
      <c r="C101" s="23">
        <v>1</v>
      </c>
      <c r="D101" s="23">
        <v>1</v>
      </c>
      <c r="E101" s="14" t="str">
        <f>"谢惜珍"</f>
        <v>谢惜珍</v>
      </c>
      <c r="F101" s="32">
        <v>85.68</v>
      </c>
      <c r="G101" s="16">
        <f>F101*0.8</f>
        <v>68.54400000000001</v>
      </c>
      <c r="H101" s="16">
        <v>94.5</v>
      </c>
      <c r="I101" s="16">
        <f>H101*0.2</f>
        <v>18.900000000000002</v>
      </c>
      <c r="J101" s="16">
        <f>G101+I101</f>
        <v>87.44400000000002</v>
      </c>
    </row>
    <row r="102" spans="1:10" s="1" customFormat="1" ht="22.5" customHeight="1">
      <c r="A102" s="34"/>
      <c r="B102" s="35"/>
      <c r="C102" s="35"/>
      <c r="D102" s="35"/>
      <c r="E102" s="35"/>
      <c r="F102" s="35"/>
      <c r="G102" s="35"/>
      <c r="H102" s="35"/>
      <c r="I102" s="35"/>
      <c r="J102" s="36"/>
    </row>
    <row r="103" spans="1:10" s="1" customFormat="1" ht="22.5" customHeight="1">
      <c r="A103" s="23" t="str">
        <f>"11101"</f>
        <v>11101</v>
      </c>
      <c r="B103" s="14" t="s">
        <v>22</v>
      </c>
      <c r="C103" s="23">
        <v>1</v>
      </c>
      <c r="D103" s="23">
        <v>0</v>
      </c>
      <c r="E103" s="14" t="str">
        <f>"冯莞枢"</f>
        <v>冯莞枢</v>
      </c>
      <c r="F103" s="32" t="s">
        <v>13</v>
      </c>
      <c r="G103" s="16"/>
      <c r="H103" s="16"/>
      <c r="I103" s="16"/>
      <c r="J103" s="16"/>
    </row>
    <row r="104" spans="1:10" s="1" customFormat="1" ht="22.5" customHeight="1">
      <c r="A104" s="34"/>
      <c r="B104" s="35"/>
      <c r="C104" s="35"/>
      <c r="D104" s="35"/>
      <c r="E104" s="35"/>
      <c r="F104" s="35"/>
      <c r="G104" s="35"/>
      <c r="H104" s="35"/>
      <c r="I104" s="35"/>
      <c r="J104" s="36"/>
    </row>
    <row r="105" spans="1:10" s="1" customFormat="1" ht="22.5" customHeight="1">
      <c r="A105" s="23" t="str">
        <f>"11102"</f>
        <v>11102</v>
      </c>
      <c r="B105" s="14" t="s">
        <v>22</v>
      </c>
      <c r="C105" s="23">
        <v>1</v>
      </c>
      <c r="D105" s="23">
        <v>1</v>
      </c>
      <c r="E105" s="14" t="str">
        <f>"周启双"</f>
        <v>周启双</v>
      </c>
      <c r="F105" s="32">
        <v>85.44</v>
      </c>
      <c r="G105" s="16">
        <f>F105*0.8</f>
        <v>68.352</v>
      </c>
      <c r="H105" s="16">
        <v>97.5</v>
      </c>
      <c r="I105" s="16">
        <f>H105*0.2</f>
        <v>19.5</v>
      </c>
      <c r="J105" s="16">
        <f>G105+I105</f>
        <v>87.852</v>
      </c>
    </row>
    <row r="106" spans="1:10" s="1" customFormat="1" ht="22.5" customHeight="1">
      <c r="A106" s="34"/>
      <c r="B106" s="35"/>
      <c r="C106" s="35"/>
      <c r="D106" s="35"/>
      <c r="E106" s="35"/>
      <c r="F106" s="35"/>
      <c r="G106" s="35"/>
      <c r="H106" s="35"/>
      <c r="I106" s="35"/>
      <c r="J106" s="36"/>
    </row>
    <row r="107" spans="1:10" ht="22.5" customHeight="1">
      <c r="A107" s="11" t="str">
        <f>"11103"</f>
        <v>11103</v>
      </c>
      <c r="B107" s="12" t="s">
        <v>22</v>
      </c>
      <c r="C107" s="13">
        <v>1</v>
      </c>
      <c r="D107" s="13">
        <v>1</v>
      </c>
      <c r="E107" s="14" t="str">
        <f>"黄冬芬"</f>
        <v>黄冬芬</v>
      </c>
      <c r="F107" s="15">
        <v>86.98</v>
      </c>
      <c r="G107" s="17">
        <f>F107*0.8</f>
        <v>69.584</v>
      </c>
      <c r="H107" s="17">
        <v>94.5</v>
      </c>
      <c r="I107" s="17">
        <f>H107*0.2</f>
        <v>18.900000000000002</v>
      </c>
      <c r="J107" s="17">
        <f>G107+I107</f>
        <v>88.48400000000001</v>
      </c>
    </row>
    <row r="108" spans="1:10" ht="22.5" customHeight="1">
      <c r="A108" s="11" t="str">
        <f>"11103"</f>
        <v>11103</v>
      </c>
      <c r="B108" s="12" t="s">
        <v>22</v>
      </c>
      <c r="C108" s="31"/>
      <c r="D108" s="31"/>
      <c r="E108" s="14" t="str">
        <f>"冉盼"</f>
        <v>冉盼</v>
      </c>
      <c r="F108" s="15">
        <v>84.92</v>
      </c>
      <c r="G108" s="17">
        <f>F108*0.8</f>
        <v>67.936</v>
      </c>
      <c r="H108" s="17">
        <v>94.5</v>
      </c>
      <c r="I108" s="17">
        <f>H108*0.2</f>
        <v>18.900000000000002</v>
      </c>
      <c r="J108" s="17">
        <f>G108+I108</f>
        <v>86.83600000000001</v>
      </c>
    </row>
    <row r="109" spans="1:10" ht="22.5" customHeight="1">
      <c r="A109" s="11" t="str">
        <f>"11103"</f>
        <v>11103</v>
      </c>
      <c r="B109" s="12" t="s">
        <v>22</v>
      </c>
      <c r="C109" s="31"/>
      <c r="D109" s="31"/>
      <c r="E109" s="12" t="str">
        <f>"徐荣"</f>
        <v>徐荣</v>
      </c>
      <c r="F109" s="32" t="s">
        <v>13</v>
      </c>
      <c r="G109" s="16"/>
      <c r="H109" s="17"/>
      <c r="I109" s="17"/>
      <c r="J109" s="17"/>
    </row>
    <row r="110" spans="1:10" s="1" customFormat="1" ht="22.5" customHeight="1">
      <c r="A110" s="23" t="str">
        <f>"11103"</f>
        <v>11103</v>
      </c>
      <c r="B110" s="14" t="s">
        <v>22</v>
      </c>
      <c r="C110" s="33"/>
      <c r="D110" s="33"/>
      <c r="E110" s="14" t="str">
        <f>"杜义"</f>
        <v>杜义</v>
      </c>
      <c r="F110" s="32" t="s">
        <v>13</v>
      </c>
      <c r="G110" s="16"/>
      <c r="H110" s="16"/>
      <c r="I110" s="16"/>
      <c r="J110" s="16"/>
    </row>
    <row r="111" spans="1:10" s="1" customFormat="1" ht="22.5" customHeight="1">
      <c r="A111" s="34"/>
      <c r="B111" s="35"/>
      <c r="C111" s="35"/>
      <c r="D111" s="35"/>
      <c r="E111" s="35"/>
      <c r="F111" s="35"/>
      <c r="G111" s="35"/>
      <c r="H111" s="35"/>
      <c r="I111" s="35"/>
      <c r="J111" s="36"/>
    </row>
    <row r="112" spans="1:10" ht="22.5" customHeight="1">
      <c r="A112" s="11" t="str">
        <f>"11104"</f>
        <v>11104</v>
      </c>
      <c r="B112" s="12" t="s">
        <v>22</v>
      </c>
      <c r="C112" s="13">
        <v>2</v>
      </c>
      <c r="D112" s="13">
        <v>1</v>
      </c>
      <c r="E112" s="14" t="str">
        <f>"袁宗汉"</f>
        <v>袁宗汉</v>
      </c>
      <c r="F112" s="15">
        <v>84</v>
      </c>
      <c r="G112" s="17">
        <f>F112*0.8</f>
        <v>67.2</v>
      </c>
      <c r="H112" s="17">
        <v>95</v>
      </c>
      <c r="I112" s="17">
        <f>H112*0.2</f>
        <v>19</v>
      </c>
      <c r="J112" s="17">
        <f>G112+I112</f>
        <v>86.2</v>
      </c>
    </row>
    <row r="113" spans="1:10" s="1" customFormat="1" ht="22.5" customHeight="1">
      <c r="A113" s="23" t="str">
        <f>"11104"</f>
        <v>11104</v>
      </c>
      <c r="B113" s="14" t="s">
        <v>22</v>
      </c>
      <c r="C113" s="33"/>
      <c r="D113" s="33"/>
      <c r="E113" s="14" t="str">
        <f>"刘晓彤"</f>
        <v>刘晓彤</v>
      </c>
      <c r="F113" s="32" t="s">
        <v>13</v>
      </c>
      <c r="G113" s="16"/>
      <c r="H113" s="16"/>
      <c r="I113" s="16"/>
      <c r="J113" s="16"/>
    </row>
    <row r="114" spans="1:10" s="1" customFormat="1" ht="22.5" customHeight="1">
      <c r="A114" s="34"/>
      <c r="B114" s="35"/>
      <c r="C114" s="35"/>
      <c r="D114" s="35"/>
      <c r="E114" s="35"/>
      <c r="F114" s="35"/>
      <c r="G114" s="35"/>
      <c r="H114" s="35"/>
      <c r="I114" s="35"/>
      <c r="J114" s="36"/>
    </row>
    <row r="115" spans="1:10" ht="22.5" customHeight="1">
      <c r="A115" s="11" t="str">
        <f>"11107"</f>
        <v>11107</v>
      </c>
      <c r="B115" s="12" t="s">
        <v>22</v>
      </c>
      <c r="C115" s="13">
        <v>2</v>
      </c>
      <c r="D115" s="13">
        <v>2</v>
      </c>
      <c r="E115" s="14" t="str">
        <f>"祝越"</f>
        <v>祝越</v>
      </c>
      <c r="F115" s="15">
        <v>85.5</v>
      </c>
      <c r="G115" s="16">
        <f>F115*0.8</f>
        <v>68.4</v>
      </c>
      <c r="H115" s="17">
        <v>94.5</v>
      </c>
      <c r="I115" s="17">
        <f>H115*0.2</f>
        <v>18.900000000000002</v>
      </c>
      <c r="J115" s="16">
        <f>G115+I115</f>
        <v>87.30000000000001</v>
      </c>
    </row>
    <row r="116" spans="1:10" ht="22.5" customHeight="1">
      <c r="A116" s="11" t="str">
        <f>"11107"</f>
        <v>11107</v>
      </c>
      <c r="B116" s="12" t="s">
        <v>22</v>
      </c>
      <c r="C116" s="31"/>
      <c r="D116" s="31"/>
      <c r="E116" s="14" t="str">
        <f>"曹胜"</f>
        <v>曹胜</v>
      </c>
      <c r="F116" s="15">
        <v>84.71</v>
      </c>
      <c r="G116" s="17">
        <f>F116*0.8</f>
        <v>67.768</v>
      </c>
      <c r="H116" s="17">
        <v>94.5</v>
      </c>
      <c r="I116" s="17">
        <f>H116*0.2</f>
        <v>18.900000000000002</v>
      </c>
      <c r="J116" s="17">
        <f>G116+I116</f>
        <v>86.668</v>
      </c>
    </row>
    <row r="117" spans="1:10" ht="22.5" customHeight="1">
      <c r="A117" s="11" t="str">
        <f>"11107"</f>
        <v>11107</v>
      </c>
      <c r="B117" s="12" t="s">
        <v>22</v>
      </c>
      <c r="C117" s="31"/>
      <c r="D117" s="31"/>
      <c r="E117" s="12" t="str">
        <f>"龚洁"</f>
        <v>龚洁</v>
      </c>
      <c r="F117" s="32" t="s">
        <v>13</v>
      </c>
      <c r="G117" s="16"/>
      <c r="H117" s="17"/>
      <c r="I117" s="17"/>
      <c r="J117" s="17"/>
    </row>
    <row r="118" spans="1:10" ht="22.5" customHeight="1">
      <c r="A118" s="11" t="str">
        <f>"11107"</f>
        <v>11107</v>
      </c>
      <c r="B118" s="12" t="s">
        <v>22</v>
      </c>
      <c r="C118" s="31"/>
      <c r="D118" s="31"/>
      <c r="E118" s="12" t="str">
        <f>"肖斗杰"</f>
        <v>肖斗杰</v>
      </c>
      <c r="F118" s="32" t="s">
        <v>13</v>
      </c>
      <c r="G118" s="16"/>
      <c r="H118" s="17"/>
      <c r="I118" s="17"/>
      <c r="J118" s="17"/>
    </row>
    <row r="119" spans="1:10" ht="22.5" customHeight="1">
      <c r="A119" s="11" t="str">
        <f>"11107"</f>
        <v>11107</v>
      </c>
      <c r="B119" s="12" t="s">
        <v>22</v>
      </c>
      <c r="C119" s="31"/>
      <c r="D119" s="31"/>
      <c r="E119" s="12" t="str">
        <f>"郑越"</f>
        <v>郑越</v>
      </c>
      <c r="F119" s="32" t="s">
        <v>13</v>
      </c>
      <c r="G119" s="16"/>
      <c r="H119" s="17"/>
      <c r="I119" s="17"/>
      <c r="J119" s="17"/>
    </row>
    <row r="120" spans="1:10" ht="22.5" customHeight="1">
      <c r="A120" s="11" t="str">
        <f aca="true" t="shared" si="7" ref="A115:A126">"11107"</f>
        <v>11107</v>
      </c>
      <c r="B120" s="12" t="s">
        <v>22</v>
      </c>
      <c r="C120" s="31"/>
      <c r="D120" s="31"/>
      <c r="E120" s="12" t="str">
        <f>"彭波"</f>
        <v>彭波</v>
      </c>
      <c r="F120" s="32" t="s">
        <v>13</v>
      </c>
      <c r="G120" s="16"/>
      <c r="H120" s="17"/>
      <c r="I120" s="17"/>
      <c r="J120" s="17"/>
    </row>
    <row r="121" spans="1:10" ht="22.5" customHeight="1">
      <c r="A121" s="11" t="str">
        <f t="shared" si="7"/>
        <v>11107</v>
      </c>
      <c r="B121" s="12" t="s">
        <v>22</v>
      </c>
      <c r="C121" s="31"/>
      <c r="D121" s="31"/>
      <c r="E121" s="12" t="str">
        <f>"陈迅峰"</f>
        <v>陈迅峰</v>
      </c>
      <c r="F121" s="32" t="s">
        <v>13</v>
      </c>
      <c r="G121" s="16"/>
      <c r="H121" s="17"/>
      <c r="I121" s="17"/>
      <c r="J121" s="17"/>
    </row>
    <row r="122" spans="1:10" ht="22.5" customHeight="1">
      <c r="A122" s="11" t="str">
        <f t="shared" si="7"/>
        <v>11107</v>
      </c>
      <c r="B122" s="12" t="s">
        <v>22</v>
      </c>
      <c r="C122" s="31"/>
      <c r="D122" s="31"/>
      <c r="E122" s="12" t="str">
        <f>"陈瑾"</f>
        <v>陈瑾</v>
      </c>
      <c r="F122" s="32" t="s">
        <v>13</v>
      </c>
      <c r="G122" s="16"/>
      <c r="H122" s="17"/>
      <c r="I122" s="17"/>
      <c r="J122" s="17"/>
    </row>
    <row r="123" spans="1:10" ht="22.5" customHeight="1">
      <c r="A123" s="11" t="str">
        <f t="shared" si="7"/>
        <v>11107</v>
      </c>
      <c r="B123" s="12" t="s">
        <v>22</v>
      </c>
      <c r="C123" s="31"/>
      <c r="D123" s="31"/>
      <c r="E123" s="12" t="str">
        <f>"杨珊"</f>
        <v>杨珊</v>
      </c>
      <c r="F123" s="32" t="s">
        <v>13</v>
      </c>
      <c r="G123" s="16"/>
      <c r="H123" s="17"/>
      <c r="I123" s="17"/>
      <c r="J123" s="17"/>
    </row>
    <row r="124" spans="1:10" ht="22.5" customHeight="1">
      <c r="A124" s="11" t="str">
        <f t="shared" si="7"/>
        <v>11107</v>
      </c>
      <c r="B124" s="12" t="s">
        <v>22</v>
      </c>
      <c r="C124" s="31"/>
      <c r="D124" s="31"/>
      <c r="E124" s="12" t="str">
        <f>"张秀超"</f>
        <v>张秀超</v>
      </c>
      <c r="F124" s="32" t="s">
        <v>13</v>
      </c>
      <c r="G124" s="16"/>
      <c r="H124" s="17"/>
      <c r="I124" s="17"/>
      <c r="J124" s="17"/>
    </row>
    <row r="125" spans="1:10" ht="22.5" customHeight="1">
      <c r="A125" s="11" t="str">
        <f t="shared" si="7"/>
        <v>11107</v>
      </c>
      <c r="B125" s="12" t="s">
        <v>22</v>
      </c>
      <c r="C125" s="31"/>
      <c r="D125" s="31"/>
      <c r="E125" s="12" t="str">
        <f>"赵志恒"</f>
        <v>赵志恒</v>
      </c>
      <c r="F125" s="32" t="s">
        <v>13</v>
      </c>
      <c r="G125" s="16"/>
      <c r="H125" s="17"/>
      <c r="I125" s="17"/>
      <c r="J125" s="17"/>
    </row>
    <row r="126" spans="1:10" s="1" customFormat="1" ht="22.5" customHeight="1">
      <c r="A126" s="23" t="str">
        <f t="shared" si="7"/>
        <v>11107</v>
      </c>
      <c r="B126" s="14" t="s">
        <v>22</v>
      </c>
      <c r="C126" s="33"/>
      <c r="D126" s="33"/>
      <c r="E126" s="14" t="str">
        <f>"杨志猛"</f>
        <v>杨志猛</v>
      </c>
      <c r="F126" s="32" t="s">
        <v>13</v>
      </c>
      <c r="G126" s="16"/>
      <c r="H126" s="16"/>
      <c r="I126" s="16"/>
      <c r="J126" s="16"/>
    </row>
    <row r="127" spans="1:10" s="1" customFormat="1" ht="22.5" customHeight="1">
      <c r="A127" s="34"/>
      <c r="B127" s="35"/>
      <c r="C127" s="35"/>
      <c r="D127" s="35"/>
      <c r="E127" s="35"/>
      <c r="F127" s="35"/>
      <c r="G127" s="35"/>
      <c r="H127" s="35"/>
      <c r="I127" s="35"/>
      <c r="J127" s="36"/>
    </row>
    <row r="128" spans="1:10" ht="22.5" customHeight="1">
      <c r="A128" s="11" t="str">
        <f>"11201"</f>
        <v>11201</v>
      </c>
      <c r="B128" s="12" t="s">
        <v>23</v>
      </c>
      <c r="C128" s="13">
        <v>2</v>
      </c>
      <c r="D128" s="13">
        <v>2</v>
      </c>
      <c r="E128" s="14" t="str">
        <f>"熊秋杨"</f>
        <v>熊秋杨</v>
      </c>
      <c r="F128" s="15">
        <v>87.6</v>
      </c>
      <c r="G128" s="17">
        <f>F128*0.8</f>
        <v>70.08</v>
      </c>
      <c r="H128" s="17">
        <v>98.5</v>
      </c>
      <c r="I128" s="17">
        <f>H128*0.2</f>
        <v>19.700000000000003</v>
      </c>
      <c r="J128" s="17">
        <f>G128+I128</f>
        <v>89.78</v>
      </c>
    </row>
    <row r="129" spans="1:10" s="1" customFormat="1" ht="22.5" customHeight="1">
      <c r="A129" s="23" t="str">
        <f>"11201"</f>
        <v>11201</v>
      </c>
      <c r="B129" s="14" t="s">
        <v>23</v>
      </c>
      <c r="C129" s="33"/>
      <c r="D129" s="33"/>
      <c r="E129" s="14" t="str">
        <f>"罗荣华"</f>
        <v>罗荣华</v>
      </c>
      <c r="F129" s="32">
        <v>85.2</v>
      </c>
      <c r="G129" s="16">
        <f>F129*0.8</f>
        <v>68.16000000000001</v>
      </c>
      <c r="H129" s="16">
        <v>94.5</v>
      </c>
      <c r="I129" s="16">
        <f>H129*0.2</f>
        <v>18.900000000000002</v>
      </c>
      <c r="J129" s="16">
        <f>G129+I129</f>
        <v>87.06000000000002</v>
      </c>
    </row>
    <row r="130" spans="1:10" s="1" customFormat="1" ht="22.5" customHeight="1">
      <c r="A130" s="34"/>
      <c r="B130" s="35"/>
      <c r="C130" s="35"/>
      <c r="D130" s="35"/>
      <c r="E130" s="35"/>
      <c r="F130" s="35"/>
      <c r="G130" s="35"/>
      <c r="H130" s="35"/>
      <c r="I130" s="35"/>
      <c r="J130" s="36"/>
    </row>
    <row r="131" spans="1:10" ht="22.5" customHeight="1">
      <c r="A131" s="11" t="str">
        <f>"11203"</f>
        <v>11203</v>
      </c>
      <c r="B131" s="12" t="s">
        <v>23</v>
      </c>
      <c r="C131" s="13">
        <v>2</v>
      </c>
      <c r="D131" s="13">
        <v>0</v>
      </c>
      <c r="E131" s="12" t="str">
        <f>"陈雨佳"</f>
        <v>陈雨佳</v>
      </c>
      <c r="F131" s="32" t="s">
        <v>13</v>
      </c>
      <c r="G131" s="16"/>
      <c r="H131" s="17"/>
      <c r="I131" s="17"/>
      <c r="J131" s="17"/>
    </row>
    <row r="132" spans="1:10" s="1" customFormat="1" ht="22.5" customHeight="1">
      <c r="A132" s="23" t="str">
        <f>"11203"</f>
        <v>11203</v>
      </c>
      <c r="B132" s="14" t="s">
        <v>23</v>
      </c>
      <c r="C132" s="33"/>
      <c r="D132" s="33"/>
      <c r="E132" s="14" t="str">
        <f>"张淑慧"</f>
        <v>张淑慧</v>
      </c>
      <c r="F132" s="32" t="s">
        <v>13</v>
      </c>
      <c r="G132" s="16"/>
      <c r="H132" s="16"/>
      <c r="I132" s="16"/>
      <c r="J132" s="16"/>
    </row>
    <row r="133" spans="1:10" s="1" customFormat="1" ht="22.5" customHeight="1">
      <c r="A133" s="34"/>
      <c r="B133" s="35"/>
      <c r="C133" s="35"/>
      <c r="D133" s="35"/>
      <c r="E133" s="35"/>
      <c r="F133" s="35"/>
      <c r="G133" s="35"/>
      <c r="H133" s="35"/>
      <c r="I133" s="35"/>
      <c r="J133" s="36"/>
    </row>
    <row r="134" spans="1:10" ht="22.5" customHeight="1">
      <c r="A134" s="11" t="str">
        <f>"11204"</f>
        <v>11204</v>
      </c>
      <c r="B134" s="12" t="s">
        <v>23</v>
      </c>
      <c r="C134" s="13">
        <v>1</v>
      </c>
      <c r="D134" s="13">
        <v>0</v>
      </c>
      <c r="E134" s="12" t="str">
        <f>"付培艺"</f>
        <v>付培艺</v>
      </c>
      <c r="F134" s="32" t="s">
        <v>13</v>
      </c>
      <c r="G134" s="16"/>
      <c r="H134" s="17"/>
      <c r="I134" s="17"/>
      <c r="J134" s="17"/>
    </row>
    <row r="135" spans="1:10" s="1" customFormat="1" ht="22.5" customHeight="1">
      <c r="A135" s="23" t="str">
        <f>"11204"</f>
        <v>11204</v>
      </c>
      <c r="B135" s="14" t="s">
        <v>23</v>
      </c>
      <c r="C135" s="33"/>
      <c r="D135" s="33"/>
      <c r="E135" s="14" t="str">
        <f>"王泽"</f>
        <v>王泽</v>
      </c>
      <c r="F135" s="32" t="s">
        <v>13</v>
      </c>
      <c r="G135" s="16"/>
      <c r="H135" s="16"/>
      <c r="I135" s="16"/>
      <c r="J135" s="16"/>
    </row>
    <row r="136" spans="1:10" s="1" customFormat="1" ht="22.5" customHeight="1">
      <c r="A136" s="34"/>
      <c r="B136" s="35"/>
      <c r="C136" s="35"/>
      <c r="D136" s="35"/>
      <c r="E136" s="35"/>
      <c r="F136" s="35"/>
      <c r="G136" s="35"/>
      <c r="H136" s="35"/>
      <c r="I136" s="35"/>
      <c r="J136" s="36"/>
    </row>
    <row r="137" spans="1:10" s="1" customFormat="1" ht="22.5" customHeight="1">
      <c r="A137" s="23" t="str">
        <f>"11205"</f>
        <v>11205</v>
      </c>
      <c r="B137" s="14" t="s">
        <v>23</v>
      </c>
      <c r="C137" s="23">
        <v>1</v>
      </c>
      <c r="D137" s="23">
        <v>1</v>
      </c>
      <c r="E137" s="14" t="str">
        <f>"文璐"</f>
        <v>文璐</v>
      </c>
      <c r="F137" s="32">
        <v>87.22</v>
      </c>
      <c r="G137" s="16">
        <f>F137*0.8</f>
        <v>69.776</v>
      </c>
      <c r="H137" s="16">
        <v>94</v>
      </c>
      <c r="I137" s="16">
        <f>H137*0.2</f>
        <v>18.8</v>
      </c>
      <c r="J137" s="16">
        <f>G137+I137</f>
        <v>88.576</v>
      </c>
    </row>
    <row r="138" spans="1:10" s="1" customFormat="1" ht="22.5" customHeight="1">
      <c r="A138" s="34"/>
      <c r="B138" s="35"/>
      <c r="C138" s="35"/>
      <c r="D138" s="35"/>
      <c r="E138" s="35"/>
      <c r="F138" s="35"/>
      <c r="G138" s="35"/>
      <c r="H138" s="35"/>
      <c r="I138" s="35"/>
      <c r="J138" s="36"/>
    </row>
    <row r="139" spans="1:10" ht="22.5" customHeight="1">
      <c r="A139" s="11" t="str">
        <f aca="true" t="shared" si="8" ref="A139:A146">"11206"</f>
        <v>11206</v>
      </c>
      <c r="B139" s="12" t="s">
        <v>23</v>
      </c>
      <c r="C139" s="13">
        <v>1</v>
      </c>
      <c r="D139" s="13">
        <v>1</v>
      </c>
      <c r="E139" s="14" t="str">
        <f>"张羽"</f>
        <v>张羽</v>
      </c>
      <c r="F139" s="15">
        <v>84.31</v>
      </c>
      <c r="G139" s="16">
        <f>F139*0.8</f>
        <v>67.44800000000001</v>
      </c>
      <c r="H139" s="17">
        <v>94.5</v>
      </c>
      <c r="I139" s="17">
        <f>H139*0.2</f>
        <v>18.900000000000002</v>
      </c>
      <c r="J139" s="16">
        <f>G139+I139</f>
        <v>86.34800000000001</v>
      </c>
    </row>
    <row r="140" spans="1:10" ht="22.5" customHeight="1">
      <c r="A140" s="11" t="str">
        <f t="shared" si="8"/>
        <v>11206</v>
      </c>
      <c r="B140" s="12" t="s">
        <v>23</v>
      </c>
      <c r="C140" s="31"/>
      <c r="D140" s="31"/>
      <c r="E140" s="14" t="str">
        <f>"张慧敏"</f>
        <v>张慧敏</v>
      </c>
      <c r="F140" s="15">
        <v>84.09</v>
      </c>
      <c r="G140" s="17">
        <f>F140*0.8</f>
        <v>67.272</v>
      </c>
      <c r="H140" s="17">
        <v>94.5</v>
      </c>
      <c r="I140" s="17">
        <f>H140*0.2</f>
        <v>18.900000000000002</v>
      </c>
      <c r="J140" s="17">
        <f>G140+I140</f>
        <v>86.17200000000001</v>
      </c>
    </row>
    <row r="141" spans="1:10" ht="22.5" customHeight="1">
      <c r="A141" s="11" t="str">
        <f t="shared" si="8"/>
        <v>11206</v>
      </c>
      <c r="B141" s="12" t="s">
        <v>23</v>
      </c>
      <c r="C141" s="31"/>
      <c r="D141" s="31"/>
      <c r="E141" s="14" t="str">
        <f>"张自强"</f>
        <v>张自强</v>
      </c>
      <c r="F141" s="15">
        <v>83.39</v>
      </c>
      <c r="G141" s="17">
        <f>F141*0.8</f>
        <v>66.712</v>
      </c>
      <c r="H141" s="17">
        <v>95.5</v>
      </c>
      <c r="I141" s="17">
        <f>H141*0.2</f>
        <v>19.1</v>
      </c>
      <c r="J141" s="17">
        <f>G141+I141</f>
        <v>85.81200000000001</v>
      </c>
    </row>
    <row r="142" spans="1:10" ht="22.5" customHeight="1">
      <c r="A142" s="11" t="str">
        <f t="shared" si="8"/>
        <v>11206</v>
      </c>
      <c r="B142" s="12" t="s">
        <v>23</v>
      </c>
      <c r="C142" s="31"/>
      <c r="D142" s="31"/>
      <c r="E142" s="12" t="str">
        <f>"王士婷"</f>
        <v>王士婷</v>
      </c>
      <c r="F142" s="32" t="s">
        <v>13</v>
      </c>
      <c r="G142" s="16"/>
      <c r="H142" s="17"/>
      <c r="I142" s="17"/>
      <c r="J142" s="17"/>
    </row>
    <row r="143" spans="1:10" ht="22.5" customHeight="1">
      <c r="A143" s="11" t="str">
        <f t="shared" si="8"/>
        <v>11206</v>
      </c>
      <c r="B143" s="12" t="s">
        <v>23</v>
      </c>
      <c r="C143" s="31"/>
      <c r="D143" s="31"/>
      <c r="E143" s="12" t="str">
        <f>"宋超慧 "</f>
        <v>宋超慧 </v>
      </c>
      <c r="F143" s="32" t="s">
        <v>13</v>
      </c>
      <c r="G143" s="16"/>
      <c r="H143" s="17"/>
      <c r="I143" s="17"/>
      <c r="J143" s="17"/>
    </row>
    <row r="144" spans="1:10" ht="22.5" customHeight="1">
      <c r="A144" s="11" t="str">
        <f t="shared" si="8"/>
        <v>11206</v>
      </c>
      <c r="B144" s="12" t="s">
        <v>23</v>
      </c>
      <c r="C144" s="31"/>
      <c r="D144" s="31"/>
      <c r="E144" s="12" t="str">
        <f>"郑若轩"</f>
        <v>郑若轩</v>
      </c>
      <c r="F144" s="32" t="s">
        <v>13</v>
      </c>
      <c r="G144" s="16"/>
      <c r="H144" s="17"/>
      <c r="I144" s="17"/>
      <c r="J144" s="17"/>
    </row>
    <row r="145" spans="1:10" ht="22.5" customHeight="1">
      <c r="A145" s="11" t="str">
        <f t="shared" si="8"/>
        <v>11206</v>
      </c>
      <c r="B145" s="12" t="s">
        <v>23</v>
      </c>
      <c r="C145" s="31"/>
      <c r="D145" s="31"/>
      <c r="E145" s="12" t="str">
        <f>"李倩"</f>
        <v>李倩</v>
      </c>
      <c r="F145" s="32" t="s">
        <v>13</v>
      </c>
      <c r="G145" s="16"/>
      <c r="H145" s="17"/>
      <c r="I145" s="17"/>
      <c r="J145" s="17"/>
    </row>
    <row r="146" spans="1:10" s="1" customFormat="1" ht="22.5" customHeight="1">
      <c r="A146" s="23" t="str">
        <f t="shared" si="8"/>
        <v>11206</v>
      </c>
      <c r="B146" s="14" t="s">
        <v>23</v>
      </c>
      <c r="C146" s="33"/>
      <c r="D146" s="33"/>
      <c r="E146" s="14" t="str">
        <f>"石玲玲"</f>
        <v>石玲玲</v>
      </c>
      <c r="F146" s="32" t="s">
        <v>13</v>
      </c>
      <c r="G146" s="16"/>
      <c r="H146" s="16"/>
      <c r="I146" s="16"/>
      <c r="J146" s="16"/>
    </row>
    <row r="147" spans="1:10" s="1" customFormat="1" ht="22.5" customHeight="1">
      <c r="A147" s="34"/>
      <c r="B147" s="35"/>
      <c r="C147" s="35"/>
      <c r="D147" s="35"/>
      <c r="E147" s="35"/>
      <c r="F147" s="35"/>
      <c r="G147" s="35"/>
      <c r="H147" s="35"/>
      <c r="I147" s="35"/>
      <c r="J147" s="36"/>
    </row>
    <row r="148" spans="1:10" ht="22.5" customHeight="1">
      <c r="A148" s="11" t="str">
        <f>"11207"</f>
        <v>11207</v>
      </c>
      <c r="B148" s="12" t="s">
        <v>23</v>
      </c>
      <c r="C148" s="13">
        <v>1</v>
      </c>
      <c r="D148" s="13">
        <v>1</v>
      </c>
      <c r="E148" s="14" t="str">
        <f>"吴梦娜"</f>
        <v>吴梦娜</v>
      </c>
      <c r="F148" s="15">
        <v>86.7</v>
      </c>
      <c r="G148" s="17">
        <f>F148*0.8</f>
        <v>69.36</v>
      </c>
      <c r="H148" s="17">
        <v>94</v>
      </c>
      <c r="I148" s="17">
        <f>H148*0.2</f>
        <v>18.8</v>
      </c>
      <c r="J148" s="17">
        <f>G148+I148</f>
        <v>88.16</v>
      </c>
    </row>
    <row r="149" spans="1:10" ht="22.5" customHeight="1">
      <c r="A149" s="11" t="str">
        <f>"11207"</f>
        <v>11207</v>
      </c>
      <c r="B149" s="12" t="s">
        <v>23</v>
      </c>
      <c r="C149" s="31"/>
      <c r="D149" s="31"/>
      <c r="E149" s="12" t="str">
        <f>"金慧"</f>
        <v>金慧</v>
      </c>
      <c r="F149" s="32" t="s">
        <v>13</v>
      </c>
      <c r="G149" s="16"/>
      <c r="H149" s="17"/>
      <c r="I149" s="17"/>
      <c r="J149" s="17"/>
    </row>
    <row r="150" spans="1:10" s="1" customFormat="1" ht="22.5" customHeight="1">
      <c r="A150" s="23" t="str">
        <f>"11207"</f>
        <v>11207</v>
      </c>
      <c r="B150" s="14" t="s">
        <v>23</v>
      </c>
      <c r="C150" s="33"/>
      <c r="D150" s="33"/>
      <c r="E150" s="14" t="str">
        <f>"石蕊"</f>
        <v>石蕊</v>
      </c>
      <c r="F150" s="32" t="s">
        <v>13</v>
      </c>
      <c r="G150" s="16"/>
      <c r="H150" s="16"/>
      <c r="I150" s="16"/>
      <c r="J150" s="16"/>
    </row>
    <row r="151" spans="1:10" s="1" customFormat="1" ht="22.5" customHeight="1">
      <c r="A151" s="34"/>
      <c r="B151" s="35"/>
      <c r="C151" s="35"/>
      <c r="D151" s="35"/>
      <c r="E151" s="35"/>
      <c r="F151" s="35"/>
      <c r="G151" s="35"/>
      <c r="H151" s="35"/>
      <c r="I151" s="35"/>
      <c r="J151" s="36"/>
    </row>
    <row r="152" spans="1:10" ht="22.5" customHeight="1">
      <c r="A152" s="11" t="str">
        <f>"11301"</f>
        <v>11301</v>
      </c>
      <c r="B152" s="12" t="s">
        <v>24</v>
      </c>
      <c r="C152" s="13">
        <v>1</v>
      </c>
      <c r="D152" s="13">
        <v>0</v>
      </c>
      <c r="E152" s="12" t="str">
        <f>"袁帅"</f>
        <v>袁帅</v>
      </c>
      <c r="F152" s="32" t="s">
        <v>13</v>
      </c>
      <c r="G152" s="16"/>
      <c r="H152" s="17"/>
      <c r="I152" s="17"/>
      <c r="J152" s="17"/>
    </row>
    <row r="153" spans="1:10" ht="22.5" customHeight="1">
      <c r="A153" s="11" t="str">
        <f>"11301"</f>
        <v>11301</v>
      </c>
      <c r="B153" s="12" t="s">
        <v>24</v>
      </c>
      <c r="C153" s="31"/>
      <c r="D153" s="31"/>
      <c r="E153" s="12" t="str">
        <f>"张克"</f>
        <v>张克</v>
      </c>
      <c r="F153" s="32" t="s">
        <v>13</v>
      </c>
      <c r="G153" s="16"/>
      <c r="H153" s="17"/>
      <c r="I153" s="17"/>
      <c r="J153" s="17"/>
    </row>
    <row r="154" spans="1:10" ht="22.5" customHeight="1">
      <c r="A154" s="11" t="str">
        <f>"11301"</f>
        <v>11301</v>
      </c>
      <c r="B154" s="12" t="s">
        <v>24</v>
      </c>
      <c r="C154" s="31"/>
      <c r="D154" s="31"/>
      <c r="E154" s="12" t="str">
        <f>"李继忠"</f>
        <v>李继忠</v>
      </c>
      <c r="F154" s="32" t="s">
        <v>13</v>
      </c>
      <c r="G154" s="16"/>
      <c r="H154" s="17"/>
      <c r="I154" s="17"/>
      <c r="J154" s="17"/>
    </row>
    <row r="155" spans="1:10" ht="22.5" customHeight="1">
      <c r="A155" s="11" t="str">
        <f>"11301"</f>
        <v>11301</v>
      </c>
      <c r="B155" s="12" t="s">
        <v>24</v>
      </c>
      <c r="C155" s="31"/>
      <c r="D155" s="31"/>
      <c r="E155" s="12" t="str">
        <f>"陈猛猛"</f>
        <v>陈猛猛</v>
      </c>
      <c r="F155" s="32" t="s">
        <v>13</v>
      </c>
      <c r="G155" s="16"/>
      <c r="H155" s="17"/>
      <c r="I155" s="17"/>
      <c r="J155" s="17"/>
    </row>
    <row r="156" spans="1:10" s="1" customFormat="1" ht="22.5" customHeight="1">
      <c r="A156" s="23" t="str">
        <f>"11301"</f>
        <v>11301</v>
      </c>
      <c r="B156" s="14" t="s">
        <v>24</v>
      </c>
      <c r="C156" s="33"/>
      <c r="D156" s="33"/>
      <c r="E156" s="14" t="str">
        <f>"官宇"</f>
        <v>官宇</v>
      </c>
      <c r="F156" s="32" t="s">
        <v>13</v>
      </c>
      <c r="G156" s="16"/>
      <c r="H156" s="16"/>
      <c r="I156" s="16"/>
      <c r="J156" s="16"/>
    </row>
    <row r="157" spans="1:10" s="1" customFormat="1" ht="22.5" customHeight="1">
      <c r="A157" s="34"/>
      <c r="B157" s="35"/>
      <c r="C157" s="35"/>
      <c r="D157" s="35"/>
      <c r="E157" s="35"/>
      <c r="F157" s="35"/>
      <c r="G157" s="35"/>
      <c r="H157" s="35"/>
      <c r="I157" s="35"/>
      <c r="J157" s="36"/>
    </row>
    <row r="158" spans="1:10" ht="22.5" customHeight="1">
      <c r="A158" s="11" t="str">
        <f>"11401"</f>
        <v>11401</v>
      </c>
      <c r="B158" s="12" t="s">
        <v>25</v>
      </c>
      <c r="C158" s="13">
        <v>1</v>
      </c>
      <c r="D158" s="13">
        <v>0</v>
      </c>
      <c r="E158" s="12" t="str">
        <f>"马勇"</f>
        <v>马勇</v>
      </c>
      <c r="F158" s="32" t="s">
        <v>13</v>
      </c>
      <c r="G158" s="16"/>
      <c r="H158" s="17"/>
      <c r="I158" s="17"/>
      <c r="J158" s="17"/>
    </row>
    <row r="159" spans="1:10" ht="22.5" customHeight="1">
      <c r="A159" s="11" t="str">
        <f>"11401"</f>
        <v>11401</v>
      </c>
      <c r="B159" s="12" t="s">
        <v>25</v>
      </c>
      <c r="C159" s="31"/>
      <c r="D159" s="31"/>
      <c r="E159" s="12" t="str">
        <f>"徐德伟"</f>
        <v>徐德伟</v>
      </c>
      <c r="F159" s="32" t="s">
        <v>13</v>
      </c>
      <c r="G159" s="16"/>
      <c r="H159" s="17"/>
      <c r="I159" s="17"/>
      <c r="J159" s="17"/>
    </row>
    <row r="160" spans="1:10" ht="22.5" customHeight="1">
      <c r="A160" s="11" t="str">
        <f>"11401"</f>
        <v>11401</v>
      </c>
      <c r="B160" s="12" t="s">
        <v>25</v>
      </c>
      <c r="C160" s="31"/>
      <c r="D160" s="31"/>
      <c r="E160" s="12" t="str">
        <f>"付义"</f>
        <v>付义</v>
      </c>
      <c r="F160" s="32" t="s">
        <v>13</v>
      </c>
      <c r="G160" s="16"/>
      <c r="H160" s="17"/>
      <c r="I160" s="17"/>
      <c r="J160" s="17"/>
    </row>
    <row r="161" spans="1:10" s="1" customFormat="1" ht="22.5" customHeight="1">
      <c r="A161" s="23" t="str">
        <f>"11401"</f>
        <v>11401</v>
      </c>
      <c r="B161" s="14" t="s">
        <v>25</v>
      </c>
      <c r="C161" s="33"/>
      <c r="D161" s="33"/>
      <c r="E161" s="14" t="str">
        <f>"汪慧轩"</f>
        <v>汪慧轩</v>
      </c>
      <c r="F161" s="32" t="s">
        <v>13</v>
      </c>
      <c r="G161" s="16"/>
      <c r="H161" s="16"/>
      <c r="I161" s="16"/>
      <c r="J161" s="16"/>
    </row>
    <row r="162" spans="1:10" s="1" customFormat="1" ht="22.5" customHeight="1">
      <c r="A162" s="34"/>
      <c r="B162" s="35"/>
      <c r="C162" s="35"/>
      <c r="D162" s="35"/>
      <c r="E162" s="35"/>
      <c r="F162" s="35"/>
      <c r="G162" s="35"/>
      <c r="H162" s="35"/>
      <c r="I162" s="35"/>
      <c r="J162" s="36"/>
    </row>
    <row r="163" spans="1:10" ht="22.5" customHeight="1">
      <c r="A163" s="11" t="str">
        <f aca="true" t="shared" si="9" ref="A163:A168">"11501"</f>
        <v>11501</v>
      </c>
      <c r="B163" s="12" t="s">
        <v>26</v>
      </c>
      <c r="C163" s="13">
        <v>1</v>
      </c>
      <c r="D163" s="13">
        <v>1</v>
      </c>
      <c r="E163" s="14" t="str">
        <f>"许汉兵"</f>
        <v>许汉兵</v>
      </c>
      <c r="F163" s="15">
        <v>82.78</v>
      </c>
      <c r="G163" s="17">
        <f>F163*0.8</f>
        <v>66.224</v>
      </c>
      <c r="H163" s="17">
        <v>93.5</v>
      </c>
      <c r="I163" s="17">
        <f>H163*0.2</f>
        <v>18.7</v>
      </c>
      <c r="J163" s="17">
        <f>G163+I163</f>
        <v>84.924</v>
      </c>
    </row>
    <row r="164" spans="1:10" ht="22.5" customHeight="1">
      <c r="A164" s="11" t="str">
        <f t="shared" si="9"/>
        <v>11501</v>
      </c>
      <c r="B164" s="12" t="s">
        <v>26</v>
      </c>
      <c r="C164" s="31"/>
      <c r="D164" s="31"/>
      <c r="E164" s="12" t="str">
        <f>"朱爱华"</f>
        <v>朱爱华</v>
      </c>
      <c r="F164" s="32" t="s">
        <v>13</v>
      </c>
      <c r="G164" s="16"/>
      <c r="H164" s="17"/>
      <c r="I164" s="17"/>
      <c r="J164" s="17"/>
    </row>
    <row r="165" spans="1:10" ht="22.5" customHeight="1">
      <c r="A165" s="11" t="str">
        <f t="shared" si="9"/>
        <v>11501</v>
      </c>
      <c r="B165" s="12" t="s">
        <v>26</v>
      </c>
      <c r="C165" s="31"/>
      <c r="D165" s="31"/>
      <c r="E165" s="12" t="str">
        <f>"王环均"</f>
        <v>王环均</v>
      </c>
      <c r="F165" s="32" t="s">
        <v>13</v>
      </c>
      <c r="G165" s="16"/>
      <c r="H165" s="17"/>
      <c r="I165" s="17"/>
      <c r="J165" s="17"/>
    </row>
    <row r="166" spans="1:10" ht="22.5" customHeight="1">
      <c r="A166" s="11" t="str">
        <f t="shared" si="9"/>
        <v>11501</v>
      </c>
      <c r="B166" s="12" t="s">
        <v>26</v>
      </c>
      <c r="C166" s="31"/>
      <c r="D166" s="31"/>
      <c r="E166" s="12" t="str">
        <f>"王奇"</f>
        <v>王奇</v>
      </c>
      <c r="F166" s="32" t="s">
        <v>13</v>
      </c>
      <c r="G166" s="16"/>
      <c r="H166" s="17"/>
      <c r="I166" s="17"/>
      <c r="J166" s="17"/>
    </row>
    <row r="167" spans="1:10" ht="22.5" customHeight="1">
      <c r="A167" s="11" t="str">
        <f t="shared" si="9"/>
        <v>11501</v>
      </c>
      <c r="B167" s="12" t="s">
        <v>26</v>
      </c>
      <c r="C167" s="31"/>
      <c r="D167" s="31"/>
      <c r="E167" s="12" t="str">
        <f>"徐家豪"</f>
        <v>徐家豪</v>
      </c>
      <c r="F167" s="32" t="s">
        <v>13</v>
      </c>
      <c r="G167" s="16"/>
      <c r="H167" s="17"/>
      <c r="I167" s="17"/>
      <c r="J167" s="17"/>
    </row>
    <row r="168" spans="1:10" s="1" customFormat="1" ht="22.5" customHeight="1">
      <c r="A168" s="23" t="str">
        <f t="shared" si="9"/>
        <v>11501</v>
      </c>
      <c r="B168" s="14" t="s">
        <v>26</v>
      </c>
      <c r="C168" s="33"/>
      <c r="D168" s="33"/>
      <c r="E168" s="14" t="str">
        <f>"刘梦迪"</f>
        <v>刘梦迪</v>
      </c>
      <c r="F168" s="32" t="s">
        <v>13</v>
      </c>
      <c r="G168" s="16"/>
      <c r="H168" s="16"/>
      <c r="I168" s="16"/>
      <c r="J168" s="16"/>
    </row>
    <row r="169" spans="1:10" s="1" customFormat="1" ht="22.5" customHeight="1">
      <c r="A169" s="34"/>
      <c r="B169" s="35"/>
      <c r="C169" s="35"/>
      <c r="D169" s="35"/>
      <c r="E169" s="35"/>
      <c r="F169" s="35"/>
      <c r="G169" s="35"/>
      <c r="H169" s="35"/>
      <c r="I169" s="35"/>
      <c r="J169" s="36"/>
    </row>
    <row r="170" spans="1:10" ht="22.5" customHeight="1">
      <c r="A170" s="11" t="str">
        <f aca="true" t="shared" si="10" ref="A170:A184">"11601"</f>
        <v>11601</v>
      </c>
      <c r="B170" s="12" t="s">
        <v>27</v>
      </c>
      <c r="C170" s="13">
        <v>3</v>
      </c>
      <c r="D170" s="13">
        <v>3</v>
      </c>
      <c r="E170" s="14" t="str">
        <f>"吴柏盛兰"</f>
        <v>吴柏盛兰</v>
      </c>
      <c r="F170" s="15">
        <v>86.88</v>
      </c>
      <c r="G170" s="16">
        <f aca="true" t="shared" si="11" ref="G170:G178">F170*0.8</f>
        <v>69.504</v>
      </c>
      <c r="H170" s="17">
        <v>92</v>
      </c>
      <c r="I170" s="17">
        <f>H170*0.2</f>
        <v>18.400000000000002</v>
      </c>
      <c r="J170" s="16">
        <f>G170+I170</f>
        <v>87.90400000000001</v>
      </c>
    </row>
    <row r="171" spans="1:10" ht="22.5" customHeight="1">
      <c r="A171" s="11" t="str">
        <f t="shared" si="10"/>
        <v>11601</v>
      </c>
      <c r="B171" s="12" t="s">
        <v>27</v>
      </c>
      <c r="C171" s="31"/>
      <c r="D171" s="31"/>
      <c r="E171" s="14" t="str">
        <f>"马宇"</f>
        <v>马宇</v>
      </c>
      <c r="F171" s="15">
        <v>86.54</v>
      </c>
      <c r="G171" s="16">
        <f t="shared" si="11"/>
        <v>69.23200000000001</v>
      </c>
      <c r="H171" s="17">
        <v>91.5</v>
      </c>
      <c r="I171" s="17">
        <f>H171*0.2</f>
        <v>18.3</v>
      </c>
      <c r="J171" s="16">
        <f>G171+I171</f>
        <v>87.53200000000001</v>
      </c>
    </row>
    <row r="172" spans="1:10" ht="22.5" customHeight="1">
      <c r="A172" s="11" t="str">
        <f t="shared" si="10"/>
        <v>11601</v>
      </c>
      <c r="B172" s="12" t="s">
        <v>27</v>
      </c>
      <c r="C172" s="31"/>
      <c r="D172" s="31"/>
      <c r="E172" s="14" t="str">
        <f>"杨益妮"</f>
        <v>杨益妮</v>
      </c>
      <c r="F172" s="15">
        <v>85.54</v>
      </c>
      <c r="G172" s="16">
        <f t="shared" si="11"/>
        <v>68.432</v>
      </c>
      <c r="H172" s="17">
        <v>92</v>
      </c>
      <c r="I172" s="17">
        <f>H172*0.2</f>
        <v>18.400000000000002</v>
      </c>
      <c r="J172" s="16">
        <f>G172+I172</f>
        <v>86.83200000000001</v>
      </c>
    </row>
    <row r="173" spans="1:10" ht="22.5" customHeight="1">
      <c r="A173" s="11" t="str">
        <f t="shared" si="10"/>
        <v>11601</v>
      </c>
      <c r="B173" s="12" t="s">
        <v>27</v>
      </c>
      <c r="C173" s="31"/>
      <c r="D173" s="31"/>
      <c r="E173" s="14" t="str">
        <f>"何凯"</f>
        <v>何凯</v>
      </c>
      <c r="F173" s="15">
        <v>84.9</v>
      </c>
      <c r="G173" s="17">
        <f t="shared" si="11"/>
        <v>67.92</v>
      </c>
      <c r="H173" s="17">
        <v>92</v>
      </c>
      <c r="I173" s="17">
        <f>H173*0.2</f>
        <v>18.400000000000002</v>
      </c>
      <c r="J173" s="17">
        <f>G173+I173</f>
        <v>86.32000000000001</v>
      </c>
    </row>
    <row r="174" spans="1:10" ht="22.5" customHeight="1">
      <c r="A174" s="11" t="str">
        <f t="shared" si="10"/>
        <v>11601</v>
      </c>
      <c r="B174" s="12" t="s">
        <v>27</v>
      </c>
      <c r="C174" s="31"/>
      <c r="D174" s="31"/>
      <c r="E174" s="14" t="str">
        <f>"尹叶辉"</f>
        <v>尹叶辉</v>
      </c>
      <c r="F174" s="15">
        <v>83.92</v>
      </c>
      <c r="G174" s="17">
        <f t="shared" si="11"/>
        <v>67.13600000000001</v>
      </c>
      <c r="H174" s="17">
        <v>91.5</v>
      </c>
      <c r="I174" s="17">
        <f>H174*0.2</f>
        <v>18.3</v>
      </c>
      <c r="J174" s="17">
        <f>G174+I174</f>
        <v>85.436</v>
      </c>
    </row>
    <row r="175" spans="1:10" ht="22.5" customHeight="1">
      <c r="A175" s="11" t="str">
        <f t="shared" si="10"/>
        <v>11601</v>
      </c>
      <c r="B175" s="12" t="s">
        <v>27</v>
      </c>
      <c r="C175" s="31"/>
      <c r="D175" s="31"/>
      <c r="E175" s="14" t="str">
        <f>"陈顺"</f>
        <v>陈顺</v>
      </c>
      <c r="F175" s="15">
        <v>83.4</v>
      </c>
      <c r="G175" s="17">
        <f t="shared" si="11"/>
        <v>66.72000000000001</v>
      </c>
      <c r="H175" s="17">
        <v>91.5</v>
      </c>
      <c r="I175" s="17">
        <f>H175*0.2</f>
        <v>18.3</v>
      </c>
      <c r="J175" s="17">
        <f>G175+I175</f>
        <v>85.02000000000001</v>
      </c>
    </row>
    <row r="176" spans="1:10" ht="22.5" customHeight="1">
      <c r="A176" s="11" t="str">
        <f t="shared" si="10"/>
        <v>11601</v>
      </c>
      <c r="B176" s="12" t="s">
        <v>27</v>
      </c>
      <c r="C176" s="31"/>
      <c r="D176" s="31"/>
      <c r="E176" s="14" t="str">
        <f>"毕家辉"</f>
        <v>毕家辉</v>
      </c>
      <c r="F176" s="15">
        <v>82.98</v>
      </c>
      <c r="G176" s="17">
        <f t="shared" si="11"/>
        <v>66.384</v>
      </c>
      <c r="H176" s="17">
        <v>92</v>
      </c>
      <c r="I176" s="17">
        <f>H176*0.2</f>
        <v>18.400000000000002</v>
      </c>
      <c r="J176" s="17">
        <f>G176+I176</f>
        <v>84.784</v>
      </c>
    </row>
    <row r="177" spans="1:10" ht="22.5" customHeight="1">
      <c r="A177" s="11" t="str">
        <f t="shared" si="10"/>
        <v>11601</v>
      </c>
      <c r="B177" s="12" t="s">
        <v>27</v>
      </c>
      <c r="C177" s="31"/>
      <c r="D177" s="31"/>
      <c r="E177" s="14" t="str">
        <f>"张桥锋"</f>
        <v>张桥锋</v>
      </c>
      <c r="F177" s="15">
        <v>83.26</v>
      </c>
      <c r="G177" s="17">
        <f t="shared" si="11"/>
        <v>66.608</v>
      </c>
      <c r="H177" s="17">
        <v>90.5</v>
      </c>
      <c r="I177" s="17">
        <f>H177*0.2</f>
        <v>18.1</v>
      </c>
      <c r="J177" s="17">
        <f>G177+I177</f>
        <v>84.708</v>
      </c>
    </row>
    <row r="178" spans="1:10" ht="22.5" customHeight="1">
      <c r="A178" s="11" t="str">
        <f t="shared" si="10"/>
        <v>11601</v>
      </c>
      <c r="B178" s="12" t="s">
        <v>27</v>
      </c>
      <c r="C178" s="31"/>
      <c r="D178" s="31"/>
      <c r="E178" s="14" t="str">
        <f>"李雨晴"</f>
        <v>李雨晴</v>
      </c>
      <c r="F178" s="15">
        <v>81.6</v>
      </c>
      <c r="G178" s="17">
        <f t="shared" si="11"/>
        <v>65.28</v>
      </c>
      <c r="H178" s="17">
        <v>91.5</v>
      </c>
      <c r="I178" s="17">
        <f>H178*0.2</f>
        <v>18.3</v>
      </c>
      <c r="J178" s="17">
        <f>G178+I178</f>
        <v>83.58</v>
      </c>
    </row>
    <row r="179" spans="1:10" ht="22.5" customHeight="1">
      <c r="A179" s="11" t="str">
        <f t="shared" si="10"/>
        <v>11601</v>
      </c>
      <c r="B179" s="12" t="s">
        <v>27</v>
      </c>
      <c r="C179" s="31"/>
      <c r="D179" s="31"/>
      <c r="E179" s="12" t="str">
        <f>"杨永"</f>
        <v>杨永</v>
      </c>
      <c r="F179" s="32" t="s">
        <v>13</v>
      </c>
      <c r="G179" s="16"/>
      <c r="H179" s="17"/>
      <c r="I179" s="17"/>
      <c r="J179" s="17"/>
    </row>
    <row r="180" spans="1:10" ht="22.5" customHeight="1">
      <c r="A180" s="11" t="str">
        <f t="shared" si="10"/>
        <v>11601</v>
      </c>
      <c r="B180" s="12" t="s">
        <v>27</v>
      </c>
      <c r="C180" s="31"/>
      <c r="D180" s="31"/>
      <c r="E180" s="12" t="str">
        <f>"李玉绵"</f>
        <v>李玉绵</v>
      </c>
      <c r="F180" s="32" t="s">
        <v>13</v>
      </c>
      <c r="G180" s="16"/>
      <c r="H180" s="17"/>
      <c r="I180" s="17"/>
      <c r="J180" s="17"/>
    </row>
    <row r="181" spans="1:10" ht="22.5" customHeight="1">
      <c r="A181" s="11" t="str">
        <f t="shared" si="10"/>
        <v>11601</v>
      </c>
      <c r="B181" s="12" t="s">
        <v>27</v>
      </c>
      <c r="C181" s="31"/>
      <c r="D181" s="31"/>
      <c r="E181" s="12" t="str">
        <f>"李思然"</f>
        <v>李思然</v>
      </c>
      <c r="F181" s="32" t="s">
        <v>13</v>
      </c>
      <c r="G181" s="16"/>
      <c r="H181" s="17"/>
      <c r="I181" s="17"/>
      <c r="J181" s="17"/>
    </row>
    <row r="182" spans="1:10" ht="22.5" customHeight="1">
      <c r="A182" s="11" t="str">
        <f t="shared" si="10"/>
        <v>11601</v>
      </c>
      <c r="B182" s="12" t="s">
        <v>27</v>
      </c>
      <c r="C182" s="31"/>
      <c r="D182" s="31"/>
      <c r="E182" s="12" t="str">
        <f>"纳浩涵"</f>
        <v>纳浩涵</v>
      </c>
      <c r="F182" s="32" t="s">
        <v>13</v>
      </c>
      <c r="G182" s="16"/>
      <c r="H182" s="17"/>
      <c r="I182" s="17"/>
      <c r="J182" s="17"/>
    </row>
    <row r="183" spans="1:10" ht="22.5" customHeight="1">
      <c r="A183" s="11" t="str">
        <f t="shared" si="10"/>
        <v>11601</v>
      </c>
      <c r="B183" s="12" t="s">
        <v>27</v>
      </c>
      <c r="C183" s="31"/>
      <c r="D183" s="31"/>
      <c r="E183" s="12" t="str">
        <f>"张梦晴"</f>
        <v>张梦晴</v>
      </c>
      <c r="F183" s="32" t="s">
        <v>13</v>
      </c>
      <c r="G183" s="16"/>
      <c r="H183" s="17"/>
      <c r="I183" s="17"/>
      <c r="J183" s="17"/>
    </row>
    <row r="184" spans="1:10" s="1" customFormat="1" ht="22.5" customHeight="1">
      <c r="A184" s="23" t="str">
        <f t="shared" si="10"/>
        <v>11601</v>
      </c>
      <c r="B184" s="14" t="s">
        <v>27</v>
      </c>
      <c r="C184" s="33"/>
      <c r="D184" s="33"/>
      <c r="E184" s="14" t="str">
        <f>"何云辉"</f>
        <v>何云辉</v>
      </c>
      <c r="F184" s="32" t="s">
        <v>13</v>
      </c>
      <c r="G184" s="16"/>
      <c r="H184" s="16"/>
      <c r="I184" s="16"/>
      <c r="J184" s="16"/>
    </row>
    <row r="185" spans="1:10" s="1" customFormat="1" ht="22.5" customHeight="1">
      <c r="A185" s="34"/>
      <c r="B185" s="35"/>
      <c r="C185" s="35"/>
      <c r="D185" s="35"/>
      <c r="E185" s="35"/>
      <c r="F185" s="35"/>
      <c r="G185" s="35"/>
      <c r="H185" s="35"/>
      <c r="I185" s="35"/>
      <c r="J185" s="36"/>
    </row>
    <row r="186" spans="1:10" ht="22.5" customHeight="1">
      <c r="A186" s="11" t="str">
        <f aca="true" t="shared" si="12" ref="A186:A192">"11701"</f>
        <v>11701</v>
      </c>
      <c r="B186" s="12" t="s">
        <v>28</v>
      </c>
      <c r="C186" s="13">
        <v>1</v>
      </c>
      <c r="D186" s="13">
        <v>1</v>
      </c>
      <c r="E186" s="14" t="str">
        <f>"刘孜涵"</f>
        <v>刘孜涵</v>
      </c>
      <c r="F186" s="15">
        <v>84.5</v>
      </c>
      <c r="G186" s="16">
        <f>F186*0.8</f>
        <v>67.60000000000001</v>
      </c>
      <c r="H186" s="17">
        <v>93.5</v>
      </c>
      <c r="I186" s="17">
        <f>H186*0.2</f>
        <v>18.7</v>
      </c>
      <c r="J186" s="16">
        <f>G186+I186</f>
        <v>86.30000000000001</v>
      </c>
    </row>
    <row r="187" spans="1:10" ht="22.5" customHeight="1">
      <c r="A187" s="11" t="str">
        <f t="shared" si="12"/>
        <v>11701</v>
      </c>
      <c r="B187" s="12" t="s">
        <v>28</v>
      </c>
      <c r="C187" s="31"/>
      <c r="D187" s="31"/>
      <c r="E187" s="14" t="str">
        <f>"周玲"</f>
        <v>周玲</v>
      </c>
      <c r="F187" s="15">
        <v>84.16</v>
      </c>
      <c r="G187" s="17">
        <f>F187*0.8</f>
        <v>67.328</v>
      </c>
      <c r="H187" s="17">
        <v>94</v>
      </c>
      <c r="I187" s="17">
        <f>H187*0.2</f>
        <v>18.8</v>
      </c>
      <c r="J187" s="17">
        <f>G187+I187</f>
        <v>86.128</v>
      </c>
    </row>
    <row r="188" spans="1:10" ht="22.5" customHeight="1">
      <c r="A188" s="11" t="str">
        <f t="shared" si="12"/>
        <v>11701</v>
      </c>
      <c r="B188" s="12" t="s">
        <v>28</v>
      </c>
      <c r="C188" s="31"/>
      <c r="D188" s="31"/>
      <c r="E188" s="14" t="str">
        <f>"吴青"</f>
        <v>吴青</v>
      </c>
      <c r="F188" s="15">
        <v>83.04</v>
      </c>
      <c r="G188" s="17">
        <f>F188*0.8</f>
        <v>66.432</v>
      </c>
      <c r="H188" s="17">
        <v>93</v>
      </c>
      <c r="I188" s="17">
        <f>H188*0.2</f>
        <v>18.6</v>
      </c>
      <c r="J188" s="17">
        <f>G188+I188</f>
        <v>85.03200000000001</v>
      </c>
    </row>
    <row r="189" spans="1:10" ht="22.5" customHeight="1">
      <c r="A189" s="11" t="str">
        <f t="shared" si="12"/>
        <v>11701</v>
      </c>
      <c r="B189" s="12" t="s">
        <v>28</v>
      </c>
      <c r="C189" s="31"/>
      <c r="D189" s="31"/>
      <c r="E189" s="14" t="str">
        <f>"史芳"</f>
        <v>史芳</v>
      </c>
      <c r="F189" s="15">
        <v>82.46</v>
      </c>
      <c r="G189" s="17">
        <f>F189*0.8</f>
        <v>65.968</v>
      </c>
      <c r="H189" s="17">
        <v>92</v>
      </c>
      <c r="I189" s="17">
        <f>H189*0.2</f>
        <v>18.400000000000002</v>
      </c>
      <c r="J189" s="17">
        <f>G189+I189</f>
        <v>84.36800000000001</v>
      </c>
    </row>
    <row r="190" spans="1:10" ht="22.5" customHeight="1">
      <c r="A190" s="11" t="str">
        <f t="shared" si="12"/>
        <v>11701</v>
      </c>
      <c r="B190" s="12" t="s">
        <v>28</v>
      </c>
      <c r="C190" s="31"/>
      <c r="D190" s="31"/>
      <c r="E190" s="14" t="str">
        <f>"李杰"</f>
        <v>李杰</v>
      </c>
      <c r="F190" s="15">
        <v>81.82</v>
      </c>
      <c r="G190" s="17">
        <f>F190*0.8</f>
        <v>65.456</v>
      </c>
      <c r="H190" s="17">
        <v>92.5</v>
      </c>
      <c r="I190" s="17">
        <f>H190*0.2</f>
        <v>18.5</v>
      </c>
      <c r="J190" s="17">
        <f>G190+I190</f>
        <v>83.956</v>
      </c>
    </row>
    <row r="191" spans="1:10" ht="22.5" customHeight="1">
      <c r="A191" s="11" t="str">
        <f t="shared" si="12"/>
        <v>11701</v>
      </c>
      <c r="B191" s="12" t="s">
        <v>28</v>
      </c>
      <c r="C191" s="31"/>
      <c r="D191" s="31"/>
      <c r="E191" s="12" t="str">
        <f>"胥敏"</f>
        <v>胥敏</v>
      </c>
      <c r="F191" s="32" t="s">
        <v>13</v>
      </c>
      <c r="G191" s="16"/>
      <c r="H191" s="17"/>
      <c r="I191" s="17"/>
      <c r="J191" s="17"/>
    </row>
    <row r="192" spans="1:10" s="1" customFormat="1" ht="22.5" customHeight="1">
      <c r="A192" s="23" t="str">
        <f t="shared" si="12"/>
        <v>11701</v>
      </c>
      <c r="B192" s="14" t="s">
        <v>28</v>
      </c>
      <c r="C192" s="33"/>
      <c r="D192" s="33"/>
      <c r="E192" s="14" t="str">
        <f>"吕双双"</f>
        <v>吕双双</v>
      </c>
      <c r="F192" s="32" t="s">
        <v>13</v>
      </c>
      <c r="G192" s="16"/>
      <c r="H192" s="16"/>
      <c r="I192" s="16"/>
      <c r="J192" s="16"/>
    </row>
    <row r="193" spans="1:10" s="1" customFormat="1" ht="22.5" customHeight="1">
      <c r="A193" s="34"/>
      <c r="B193" s="35"/>
      <c r="C193" s="35"/>
      <c r="D193" s="35"/>
      <c r="E193" s="35"/>
      <c r="F193" s="35"/>
      <c r="G193" s="35"/>
      <c r="H193" s="35"/>
      <c r="I193" s="35"/>
      <c r="J193" s="36"/>
    </row>
    <row r="194" spans="1:10" ht="22.5" customHeight="1">
      <c r="A194" s="11" t="str">
        <f aca="true" t="shared" si="13" ref="A194:A200">"11801"</f>
        <v>11801</v>
      </c>
      <c r="B194" s="12" t="s">
        <v>29</v>
      </c>
      <c r="C194" s="13">
        <v>1</v>
      </c>
      <c r="D194" s="13">
        <v>1</v>
      </c>
      <c r="E194" s="14" t="str">
        <f>"宁小雨"</f>
        <v>宁小雨</v>
      </c>
      <c r="F194" s="15">
        <v>85.34</v>
      </c>
      <c r="G194" s="16">
        <f>F194*0.8</f>
        <v>68.272</v>
      </c>
      <c r="H194" s="17">
        <v>92.5</v>
      </c>
      <c r="I194" s="17">
        <f>H194*0.2</f>
        <v>18.5</v>
      </c>
      <c r="J194" s="16">
        <f>G194+I194</f>
        <v>86.772</v>
      </c>
    </row>
    <row r="195" spans="1:10" ht="22.5" customHeight="1">
      <c r="A195" s="11" t="str">
        <f t="shared" si="13"/>
        <v>11801</v>
      </c>
      <c r="B195" s="12" t="s">
        <v>29</v>
      </c>
      <c r="C195" s="31"/>
      <c r="D195" s="31"/>
      <c r="E195" s="14" t="str">
        <f>"毛国蓉"</f>
        <v>毛国蓉</v>
      </c>
      <c r="F195" s="15">
        <v>83.78</v>
      </c>
      <c r="G195" s="17">
        <f>F195*0.8</f>
        <v>67.024</v>
      </c>
      <c r="H195" s="17">
        <v>95</v>
      </c>
      <c r="I195" s="17">
        <f>H195*0.2</f>
        <v>19</v>
      </c>
      <c r="J195" s="17">
        <f>G195+I195</f>
        <v>86.024</v>
      </c>
    </row>
    <row r="196" spans="1:10" ht="22.5" customHeight="1">
      <c r="A196" s="11" t="str">
        <f t="shared" si="13"/>
        <v>11801</v>
      </c>
      <c r="B196" s="12" t="s">
        <v>29</v>
      </c>
      <c r="C196" s="31"/>
      <c r="D196" s="31"/>
      <c r="E196" s="14" t="str">
        <f>"韩昆"</f>
        <v>韩昆</v>
      </c>
      <c r="F196" s="15">
        <v>81.46</v>
      </c>
      <c r="G196" s="17">
        <f>F196*0.8</f>
        <v>65.16799999999999</v>
      </c>
      <c r="H196" s="17">
        <v>92.5</v>
      </c>
      <c r="I196" s="17">
        <f>H196*0.2</f>
        <v>18.5</v>
      </c>
      <c r="J196" s="17">
        <f>G196+I196</f>
        <v>83.66799999999999</v>
      </c>
    </row>
    <row r="197" spans="1:10" ht="22.5" customHeight="1">
      <c r="A197" s="11" t="str">
        <f t="shared" si="13"/>
        <v>11801</v>
      </c>
      <c r="B197" s="12" t="s">
        <v>29</v>
      </c>
      <c r="C197" s="31"/>
      <c r="D197" s="31"/>
      <c r="E197" s="12" t="str">
        <f>"舒为"</f>
        <v>舒为</v>
      </c>
      <c r="F197" s="32" t="s">
        <v>13</v>
      </c>
      <c r="G197" s="16"/>
      <c r="H197" s="17"/>
      <c r="I197" s="17"/>
      <c r="J197" s="17"/>
    </row>
    <row r="198" spans="1:10" ht="22.5" customHeight="1">
      <c r="A198" s="11" t="str">
        <f t="shared" si="13"/>
        <v>11801</v>
      </c>
      <c r="B198" s="12" t="s">
        <v>29</v>
      </c>
      <c r="C198" s="31"/>
      <c r="D198" s="31"/>
      <c r="E198" s="12" t="str">
        <f>"刘青"</f>
        <v>刘青</v>
      </c>
      <c r="F198" s="32" t="s">
        <v>13</v>
      </c>
      <c r="G198" s="16"/>
      <c r="H198" s="17"/>
      <c r="I198" s="17"/>
      <c r="J198" s="17"/>
    </row>
    <row r="199" spans="1:10" ht="22.5" customHeight="1">
      <c r="A199" s="11" t="str">
        <f t="shared" si="13"/>
        <v>11801</v>
      </c>
      <c r="B199" s="12" t="s">
        <v>29</v>
      </c>
      <c r="C199" s="31"/>
      <c r="D199" s="31"/>
      <c r="E199" s="12" t="str">
        <f>"王伟刚"</f>
        <v>王伟刚</v>
      </c>
      <c r="F199" s="32" t="s">
        <v>13</v>
      </c>
      <c r="G199" s="16"/>
      <c r="H199" s="17"/>
      <c r="I199" s="17"/>
      <c r="J199" s="17"/>
    </row>
    <row r="200" spans="1:10" s="1" customFormat="1" ht="22.5" customHeight="1">
      <c r="A200" s="23" t="str">
        <f t="shared" si="13"/>
        <v>11801</v>
      </c>
      <c r="B200" s="14" t="s">
        <v>29</v>
      </c>
      <c r="C200" s="33"/>
      <c r="D200" s="33"/>
      <c r="E200" s="14" t="str">
        <f>"苏奎"</f>
        <v>苏奎</v>
      </c>
      <c r="F200" s="32" t="s">
        <v>13</v>
      </c>
      <c r="G200" s="16"/>
      <c r="H200" s="16"/>
      <c r="I200" s="16"/>
      <c r="J200" s="16"/>
    </row>
    <row r="201" spans="1:10" s="1" customFormat="1" ht="22.5" customHeight="1">
      <c r="A201" s="34"/>
      <c r="B201" s="35"/>
      <c r="C201" s="35"/>
      <c r="D201" s="35"/>
      <c r="E201" s="35"/>
      <c r="F201" s="35"/>
      <c r="G201" s="35"/>
      <c r="H201" s="35"/>
      <c r="I201" s="35"/>
      <c r="J201" s="36"/>
    </row>
    <row r="202" spans="1:10" ht="22.5" customHeight="1">
      <c r="A202" s="11" t="str">
        <f>"11901"</f>
        <v>11901</v>
      </c>
      <c r="B202" s="12" t="s">
        <v>30</v>
      </c>
      <c r="C202" s="13">
        <v>1</v>
      </c>
      <c r="D202" s="13">
        <v>1</v>
      </c>
      <c r="E202" s="14" t="str">
        <f>"王青林"</f>
        <v>王青林</v>
      </c>
      <c r="F202" s="15">
        <v>82.82</v>
      </c>
      <c r="G202" s="17">
        <f>F202*0.8</f>
        <v>66.256</v>
      </c>
      <c r="H202" s="17">
        <v>92.5</v>
      </c>
      <c r="I202" s="17">
        <f>H202*0.2</f>
        <v>18.5</v>
      </c>
      <c r="J202" s="17">
        <f>G202+I202</f>
        <v>84.756</v>
      </c>
    </row>
    <row r="203" spans="1:10" ht="22.5" customHeight="1">
      <c r="A203" s="11" t="str">
        <f>"11901"</f>
        <v>11901</v>
      </c>
      <c r="B203" s="12" t="s">
        <v>30</v>
      </c>
      <c r="C203" s="31"/>
      <c r="D203" s="31"/>
      <c r="E203" s="12" t="str">
        <f>"鲍桂子"</f>
        <v>鲍桂子</v>
      </c>
      <c r="F203" s="32" t="s">
        <v>13</v>
      </c>
      <c r="G203" s="16"/>
      <c r="H203" s="17"/>
      <c r="I203" s="17"/>
      <c r="J203" s="17"/>
    </row>
    <row r="204" spans="1:10" ht="22.5" customHeight="1">
      <c r="A204" s="11" t="str">
        <f>"11901"</f>
        <v>11901</v>
      </c>
      <c r="B204" s="12" t="s">
        <v>30</v>
      </c>
      <c r="C204" s="31"/>
      <c r="D204" s="31"/>
      <c r="E204" s="12" t="str">
        <f>"张黄惠美"</f>
        <v>张黄惠美</v>
      </c>
      <c r="F204" s="32" t="s">
        <v>13</v>
      </c>
      <c r="G204" s="16"/>
      <c r="H204" s="17"/>
      <c r="I204" s="17"/>
      <c r="J204" s="17"/>
    </row>
    <row r="205" spans="1:10" ht="22.5" customHeight="1">
      <c r="A205" s="11" t="str">
        <f>"11901"</f>
        <v>11901</v>
      </c>
      <c r="B205" s="12" t="s">
        <v>30</v>
      </c>
      <c r="C205" s="31"/>
      <c r="D205" s="31"/>
      <c r="E205" s="12" t="str">
        <f>"张道婷"</f>
        <v>张道婷</v>
      </c>
      <c r="F205" s="32" t="s">
        <v>13</v>
      </c>
      <c r="G205" s="16"/>
      <c r="H205" s="17"/>
      <c r="I205" s="17"/>
      <c r="J205" s="17"/>
    </row>
    <row r="206" spans="1:10" ht="22.5" customHeight="1">
      <c r="A206" s="11" t="str">
        <f>"11901"</f>
        <v>11901</v>
      </c>
      <c r="B206" s="12" t="s">
        <v>30</v>
      </c>
      <c r="C206" s="31"/>
      <c r="D206" s="31"/>
      <c r="E206" s="12" t="str">
        <f>"乔清亮"</f>
        <v>乔清亮</v>
      </c>
      <c r="F206" s="32" t="s">
        <v>13</v>
      </c>
      <c r="G206" s="16"/>
      <c r="H206" s="17"/>
      <c r="I206" s="17"/>
      <c r="J206" s="17"/>
    </row>
    <row r="207" spans="1:10" ht="22.5" customHeight="1">
      <c r="A207" s="11" t="str">
        <f aca="true" t="shared" si="14" ref="A206:A215">"11901"</f>
        <v>11901</v>
      </c>
      <c r="B207" s="12" t="s">
        <v>30</v>
      </c>
      <c r="C207" s="31"/>
      <c r="D207" s="31"/>
      <c r="E207" s="12" t="str">
        <f>"宋智伟"</f>
        <v>宋智伟</v>
      </c>
      <c r="F207" s="32" t="s">
        <v>13</v>
      </c>
      <c r="G207" s="16"/>
      <c r="H207" s="17"/>
      <c r="I207" s="17"/>
      <c r="J207" s="17"/>
    </row>
    <row r="208" spans="1:10" ht="22.5" customHeight="1">
      <c r="A208" s="11" t="str">
        <f t="shared" si="14"/>
        <v>11901</v>
      </c>
      <c r="B208" s="12" t="s">
        <v>30</v>
      </c>
      <c r="C208" s="31"/>
      <c r="D208" s="31"/>
      <c r="E208" s="14" t="str">
        <f>"王磊"</f>
        <v>王磊</v>
      </c>
      <c r="F208" s="32" t="s">
        <v>13</v>
      </c>
      <c r="G208" s="16"/>
      <c r="H208" s="16"/>
      <c r="I208" s="16"/>
      <c r="J208" s="16"/>
    </row>
    <row r="209" spans="1:10" ht="22.5" customHeight="1">
      <c r="A209" s="11" t="str">
        <f t="shared" si="14"/>
        <v>11901</v>
      </c>
      <c r="B209" s="12" t="s">
        <v>30</v>
      </c>
      <c r="C209" s="31"/>
      <c r="D209" s="31"/>
      <c r="E209" s="12" t="str">
        <f>"李妮丹"</f>
        <v>李妮丹</v>
      </c>
      <c r="F209" s="32" t="s">
        <v>13</v>
      </c>
      <c r="G209" s="16"/>
      <c r="H209" s="17"/>
      <c r="I209" s="17"/>
      <c r="J209" s="17"/>
    </row>
    <row r="210" spans="1:10" ht="22.5" customHeight="1">
      <c r="A210" s="11" t="str">
        <f t="shared" si="14"/>
        <v>11901</v>
      </c>
      <c r="B210" s="12" t="s">
        <v>30</v>
      </c>
      <c r="C210" s="31"/>
      <c r="D210" s="31"/>
      <c r="E210" s="12" t="str">
        <f>"舒雁翔"</f>
        <v>舒雁翔</v>
      </c>
      <c r="F210" s="32" t="s">
        <v>13</v>
      </c>
      <c r="G210" s="16"/>
      <c r="H210" s="17"/>
      <c r="I210" s="17"/>
      <c r="J210" s="17"/>
    </row>
    <row r="211" spans="1:10" ht="22.5" customHeight="1">
      <c r="A211" s="11" t="str">
        <f t="shared" si="14"/>
        <v>11901</v>
      </c>
      <c r="B211" s="12" t="s">
        <v>30</v>
      </c>
      <c r="C211" s="31"/>
      <c r="D211" s="31"/>
      <c r="E211" s="12" t="str">
        <f>"钟倩"</f>
        <v>钟倩</v>
      </c>
      <c r="F211" s="32" t="s">
        <v>13</v>
      </c>
      <c r="G211" s="16"/>
      <c r="H211" s="17"/>
      <c r="I211" s="17"/>
      <c r="J211" s="17"/>
    </row>
    <row r="212" spans="1:10" ht="22.5" customHeight="1">
      <c r="A212" s="11" t="str">
        <f t="shared" si="14"/>
        <v>11901</v>
      </c>
      <c r="B212" s="12" t="s">
        <v>30</v>
      </c>
      <c r="C212" s="31"/>
      <c r="D212" s="31"/>
      <c r="E212" s="12" t="str">
        <f>"袁怀志"</f>
        <v>袁怀志</v>
      </c>
      <c r="F212" s="32" t="s">
        <v>13</v>
      </c>
      <c r="G212" s="16"/>
      <c r="H212" s="17"/>
      <c r="I212" s="17"/>
      <c r="J212" s="17"/>
    </row>
    <row r="213" spans="1:10" ht="22.5" customHeight="1">
      <c r="A213" s="11" t="str">
        <f t="shared" si="14"/>
        <v>11901</v>
      </c>
      <c r="B213" s="12" t="s">
        <v>30</v>
      </c>
      <c r="C213" s="31"/>
      <c r="D213" s="31"/>
      <c r="E213" s="12" t="str">
        <f>"虢小燕"</f>
        <v>虢小燕</v>
      </c>
      <c r="F213" s="32" t="s">
        <v>13</v>
      </c>
      <c r="G213" s="16"/>
      <c r="H213" s="17"/>
      <c r="I213" s="17"/>
      <c r="J213" s="17"/>
    </row>
    <row r="214" spans="1:10" s="1" customFormat="1" ht="22.5" customHeight="1">
      <c r="A214" s="23" t="str">
        <f t="shared" si="14"/>
        <v>11901</v>
      </c>
      <c r="B214" s="14" t="s">
        <v>30</v>
      </c>
      <c r="C214" s="33"/>
      <c r="D214" s="33"/>
      <c r="E214" s="14" t="str">
        <f>"谭萍萍"</f>
        <v>谭萍萍</v>
      </c>
      <c r="F214" s="32" t="s">
        <v>13</v>
      </c>
      <c r="G214" s="16"/>
      <c r="H214" s="16"/>
      <c r="I214" s="16"/>
      <c r="J214" s="16"/>
    </row>
    <row r="215" spans="1:10" s="1" customFormat="1" ht="22.5" customHeight="1">
      <c r="A215" s="34"/>
      <c r="B215" s="35"/>
      <c r="C215" s="35"/>
      <c r="D215" s="35"/>
      <c r="E215" s="35"/>
      <c r="F215" s="35"/>
      <c r="G215" s="35"/>
      <c r="H215" s="35"/>
      <c r="I215" s="35"/>
      <c r="J215" s="36"/>
    </row>
    <row r="216" spans="1:10" ht="22.5" customHeight="1">
      <c r="A216" s="11" t="str">
        <f>"12001"</f>
        <v>12001</v>
      </c>
      <c r="B216" s="12" t="s">
        <v>31</v>
      </c>
      <c r="C216" s="13">
        <v>1</v>
      </c>
      <c r="D216" s="13">
        <v>1</v>
      </c>
      <c r="E216" s="14" t="str">
        <f>"刘德鑫"</f>
        <v>刘德鑫</v>
      </c>
      <c r="F216" s="15">
        <v>82.96</v>
      </c>
      <c r="G216" s="16">
        <f>F216*0.8</f>
        <v>66.368</v>
      </c>
      <c r="H216" s="17">
        <v>93.5</v>
      </c>
      <c r="I216" s="17">
        <f>H216*0.2</f>
        <v>18.7</v>
      </c>
      <c r="J216" s="16">
        <f>G216+I216</f>
        <v>85.068</v>
      </c>
    </row>
    <row r="217" spans="1:10" ht="22.5" customHeight="1">
      <c r="A217" s="11" t="str">
        <f>"12001"</f>
        <v>12001</v>
      </c>
      <c r="B217" s="12" t="s">
        <v>31</v>
      </c>
      <c r="C217" s="31"/>
      <c r="D217" s="31"/>
      <c r="E217" s="14" t="str">
        <f>"付宇航"</f>
        <v>付宇航</v>
      </c>
      <c r="F217" s="15">
        <v>82.82</v>
      </c>
      <c r="G217" s="17">
        <f>F217*0.8</f>
        <v>66.256</v>
      </c>
      <c r="H217" s="17">
        <v>93.5</v>
      </c>
      <c r="I217" s="17">
        <f>H217*0.2</f>
        <v>18.7</v>
      </c>
      <c r="J217" s="17">
        <f>G217+I217</f>
        <v>84.956</v>
      </c>
    </row>
    <row r="218" spans="1:10" ht="22.5" customHeight="1">
      <c r="A218" s="11" t="str">
        <f>"12001"</f>
        <v>12001</v>
      </c>
      <c r="B218" s="12" t="s">
        <v>31</v>
      </c>
      <c r="C218" s="31"/>
      <c r="D218" s="31"/>
      <c r="E218" s="12" t="str">
        <f>"吴倩倩"</f>
        <v>吴倩倩</v>
      </c>
      <c r="F218" s="32" t="s">
        <v>13</v>
      </c>
      <c r="G218" s="16"/>
      <c r="H218" s="17"/>
      <c r="I218" s="17"/>
      <c r="J218" s="17"/>
    </row>
    <row r="219" spans="1:10" ht="22.5" customHeight="1">
      <c r="A219" s="11" t="str">
        <f>"12001"</f>
        <v>12001</v>
      </c>
      <c r="B219" s="12" t="s">
        <v>31</v>
      </c>
      <c r="C219" s="31"/>
      <c r="D219" s="31"/>
      <c r="E219" s="12" t="str">
        <f>"彭园"</f>
        <v>彭园</v>
      </c>
      <c r="F219" s="32" t="s">
        <v>13</v>
      </c>
      <c r="G219" s="16"/>
      <c r="H219" s="17"/>
      <c r="I219" s="17"/>
      <c r="J219" s="17"/>
    </row>
    <row r="220" spans="1:10" s="1" customFormat="1" ht="22.5" customHeight="1">
      <c r="A220" s="23" t="str">
        <f>"12001"</f>
        <v>12001</v>
      </c>
      <c r="B220" s="14" t="s">
        <v>31</v>
      </c>
      <c r="C220" s="33"/>
      <c r="D220" s="33"/>
      <c r="E220" s="14" t="str">
        <f>"刘云慧"</f>
        <v>刘云慧</v>
      </c>
      <c r="F220" s="32" t="s">
        <v>13</v>
      </c>
      <c r="G220" s="16"/>
      <c r="H220" s="16"/>
      <c r="I220" s="16"/>
      <c r="J220" s="16"/>
    </row>
    <row r="221" spans="1:10" s="1" customFormat="1" ht="22.5" customHeight="1">
      <c r="A221" s="34"/>
      <c r="B221" s="35"/>
      <c r="C221" s="35"/>
      <c r="D221" s="35"/>
      <c r="E221" s="35"/>
      <c r="F221" s="35"/>
      <c r="G221" s="35"/>
      <c r="H221" s="35"/>
      <c r="I221" s="35"/>
      <c r="J221" s="36"/>
    </row>
    <row r="222" spans="1:10" ht="22.5" customHeight="1">
      <c r="A222" s="11" t="str">
        <f>"12101"</f>
        <v>12101</v>
      </c>
      <c r="B222" s="12" t="s">
        <v>32</v>
      </c>
      <c r="C222" s="13">
        <v>1</v>
      </c>
      <c r="D222" s="13">
        <v>1</v>
      </c>
      <c r="E222" s="14" t="str">
        <f>"李胜辉"</f>
        <v>李胜辉</v>
      </c>
      <c r="F222" s="15">
        <v>84.32</v>
      </c>
      <c r="G222" s="16">
        <f>F222*0.8</f>
        <v>67.456</v>
      </c>
      <c r="H222" s="17">
        <v>93.5</v>
      </c>
      <c r="I222" s="17">
        <f>H222*0.2</f>
        <v>18.7</v>
      </c>
      <c r="J222" s="16">
        <f>G222+I222</f>
        <v>86.156</v>
      </c>
    </row>
    <row r="223" spans="1:10" ht="22.5" customHeight="1">
      <c r="A223" s="11" t="str">
        <f>"12101"</f>
        <v>12101</v>
      </c>
      <c r="B223" s="12" t="s">
        <v>32</v>
      </c>
      <c r="C223" s="31"/>
      <c r="D223" s="31"/>
      <c r="E223" s="14" t="str">
        <f>"朱芹瑶"</f>
        <v>朱芹瑶</v>
      </c>
      <c r="F223" s="15">
        <v>81.9</v>
      </c>
      <c r="G223" s="17">
        <f>F223*0.8</f>
        <v>65.52000000000001</v>
      </c>
      <c r="H223" s="17">
        <v>92</v>
      </c>
      <c r="I223" s="17">
        <f>H223*0.2</f>
        <v>18.400000000000002</v>
      </c>
      <c r="J223" s="17">
        <f>G223+I223</f>
        <v>83.92000000000002</v>
      </c>
    </row>
    <row r="224" spans="1:10" ht="22.5" customHeight="1">
      <c r="A224" s="11" t="str">
        <f>"12101"</f>
        <v>12101</v>
      </c>
      <c r="B224" s="12" t="s">
        <v>32</v>
      </c>
      <c r="C224" s="31"/>
      <c r="D224" s="31"/>
      <c r="E224" s="14" t="str">
        <f>"谭夏露"</f>
        <v>谭夏露</v>
      </c>
      <c r="F224" s="15">
        <v>79.64</v>
      </c>
      <c r="G224" s="17">
        <f>F224*0.8</f>
        <v>63.712</v>
      </c>
      <c r="H224" s="17">
        <v>92.5</v>
      </c>
      <c r="I224" s="17">
        <f>H224*0.2</f>
        <v>18.5</v>
      </c>
      <c r="J224" s="17">
        <f>G224+I224</f>
        <v>82.212</v>
      </c>
    </row>
    <row r="225" spans="1:10" ht="22.5" customHeight="1">
      <c r="A225" s="11" t="str">
        <f>"12101"</f>
        <v>12101</v>
      </c>
      <c r="B225" s="12" t="s">
        <v>32</v>
      </c>
      <c r="C225" s="31"/>
      <c r="D225" s="31"/>
      <c r="E225" s="12" t="str">
        <f>"查云龙"</f>
        <v>查云龙</v>
      </c>
      <c r="F225" s="32" t="s">
        <v>13</v>
      </c>
      <c r="G225" s="16"/>
      <c r="H225" s="17"/>
      <c r="I225" s="17"/>
      <c r="J225" s="17"/>
    </row>
    <row r="226" spans="1:10" s="1" customFormat="1" ht="22.5" customHeight="1">
      <c r="A226" s="23" t="str">
        <f>"12101"</f>
        <v>12101</v>
      </c>
      <c r="B226" s="14" t="s">
        <v>32</v>
      </c>
      <c r="C226" s="33"/>
      <c r="D226" s="33"/>
      <c r="E226" s="14" t="str">
        <f>"吕蒙蒙"</f>
        <v>吕蒙蒙</v>
      </c>
      <c r="F226" s="32" t="s">
        <v>13</v>
      </c>
      <c r="G226" s="16"/>
      <c r="H226" s="16"/>
      <c r="I226" s="16"/>
      <c r="J226" s="16"/>
    </row>
    <row r="227" spans="1:10" s="1" customFormat="1" ht="22.5" customHeight="1">
      <c r="A227" s="34"/>
      <c r="B227" s="35"/>
      <c r="C227" s="35"/>
      <c r="D227" s="35"/>
      <c r="E227" s="35"/>
      <c r="F227" s="35"/>
      <c r="G227" s="35"/>
      <c r="H227" s="35"/>
      <c r="I227" s="35"/>
      <c r="J227" s="36"/>
    </row>
    <row r="228" spans="1:10" ht="22.5" customHeight="1">
      <c r="A228" s="11" t="str">
        <f aca="true" t="shared" si="15" ref="A228:A236">"12201"</f>
        <v>12201</v>
      </c>
      <c r="B228" s="12" t="s">
        <v>33</v>
      </c>
      <c r="C228" s="13">
        <v>1</v>
      </c>
      <c r="D228" s="13">
        <v>1</v>
      </c>
      <c r="E228" s="14" t="str">
        <f>"屈腾飞"</f>
        <v>屈腾飞</v>
      </c>
      <c r="F228" s="15">
        <v>83.24</v>
      </c>
      <c r="G228" s="16">
        <f>F228*0.8</f>
        <v>66.592</v>
      </c>
      <c r="H228" s="17">
        <v>92.5</v>
      </c>
      <c r="I228" s="17">
        <f>H228*0.2</f>
        <v>18.5</v>
      </c>
      <c r="J228" s="16">
        <f>G228+I228</f>
        <v>85.092</v>
      </c>
    </row>
    <row r="229" spans="1:10" ht="22.5" customHeight="1">
      <c r="A229" s="11" t="str">
        <f t="shared" si="15"/>
        <v>12201</v>
      </c>
      <c r="B229" s="12" t="s">
        <v>33</v>
      </c>
      <c r="C229" s="31"/>
      <c r="D229" s="31"/>
      <c r="E229" s="14" t="str">
        <f>"邹家佳"</f>
        <v>邹家佳</v>
      </c>
      <c r="F229" s="15">
        <v>82.52</v>
      </c>
      <c r="G229" s="17">
        <f>F229*0.8</f>
        <v>66.016</v>
      </c>
      <c r="H229" s="17">
        <v>95</v>
      </c>
      <c r="I229" s="17">
        <f>H229*0.2</f>
        <v>19</v>
      </c>
      <c r="J229" s="17">
        <f>G229+I229</f>
        <v>85.016</v>
      </c>
    </row>
    <row r="230" spans="1:10" ht="22.5" customHeight="1">
      <c r="A230" s="11" t="str">
        <f t="shared" si="15"/>
        <v>12201</v>
      </c>
      <c r="B230" s="12" t="s">
        <v>33</v>
      </c>
      <c r="C230" s="31"/>
      <c r="D230" s="31"/>
      <c r="E230" s="14" t="str">
        <f>"潘路遥"</f>
        <v>潘路遥</v>
      </c>
      <c r="F230" s="15">
        <v>82.84</v>
      </c>
      <c r="G230" s="17">
        <f>F230*0.8</f>
        <v>66.272</v>
      </c>
      <c r="H230" s="17">
        <v>93</v>
      </c>
      <c r="I230" s="17">
        <f>H230*0.2</f>
        <v>18.6</v>
      </c>
      <c r="J230" s="17">
        <f>G230+I230</f>
        <v>84.87200000000001</v>
      </c>
    </row>
    <row r="231" spans="1:10" ht="22.5" customHeight="1">
      <c r="A231" s="11" t="str">
        <f t="shared" si="15"/>
        <v>12201</v>
      </c>
      <c r="B231" s="12" t="s">
        <v>33</v>
      </c>
      <c r="C231" s="31"/>
      <c r="D231" s="31"/>
      <c r="E231" s="14" t="str">
        <f>"谷相玉"</f>
        <v>谷相玉</v>
      </c>
      <c r="F231" s="15">
        <v>82.04</v>
      </c>
      <c r="G231" s="17">
        <f>F231*0.8</f>
        <v>65.632</v>
      </c>
      <c r="H231" s="17">
        <v>94.5</v>
      </c>
      <c r="I231" s="17">
        <f>H231*0.2</f>
        <v>18.900000000000002</v>
      </c>
      <c r="J231" s="17">
        <f>G231+I231</f>
        <v>84.53200000000001</v>
      </c>
    </row>
    <row r="232" spans="1:10" ht="22.5" customHeight="1">
      <c r="A232" s="11" t="str">
        <f t="shared" si="15"/>
        <v>12201</v>
      </c>
      <c r="B232" s="12" t="s">
        <v>33</v>
      </c>
      <c r="C232" s="31"/>
      <c r="D232" s="31"/>
      <c r="E232" s="14" t="str">
        <f>"徐英"</f>
        <v>徐英</v>
      </c>
      <c r="F232" s="15">
        <v>81.54</v>
      </c>
      <c r="G232" s="17">
        <f>F232*0.8</f>
        <v>65.23200000000001</v>
      </c>
      <c r="H232" s="17">
        <v>93.5</v>
      </c>
      <c r="I232" s="17">
        <f>H232*0.2</f>
        <v>18.7</v>
      </c>
      <c r="J232" s="17">
        <f>G232+I232</f>
        <v>83.93200000000002</v>
      </c>
    </row>
    <row r="233" spans="1:10" ht="22.5" customHeight="1">
      <c r="A233" s="11" t="str">
        <f t="shared" si="15"/>
        <v>12201</v>
      </c>
      <c r="B233" s="12" t="s">
        <v>33</v>
      </c>
      <c r="C233" s="31"/>
      <c r="D233" s="31"/>
      <c r="E233" s="12" t="str">
        <f>"周曜"</f>
        <v>周曜</v>
      </c>
      <c r="F233" s="32" t="s">
        <v>13</v>
      </c>
      <c r="G233" s="16"/>
      <c r="H233" s="17"/>
      <c r="I233" s="17"/>
      <c r="J233" s="17"/>
    </row>
    <row r="234" spans="1:10" ht="22.5" customHeight="1">
      <c r="A234" s="11" t="str">
        <f t="shared" si="15"/>
        <v>12201</v>
      </c>
      <c r="B234" s="12" t="s">
        <v>33</v>
      </c>
      <c r="C234" s="31"/>
      <c r="D234" s="31"/>
      <c r="E234" s="12" t="str">
        <f>"严俊"</f>
        <v>严俊</v>
      </c>
      <c r="F234" s="32" t="s">
        <v>13</v>
      </c>
      <c r="G234" s="16"/>
      <c r="H234" s="17"/>
      <c r="I234" s="17"/>
      <c r="J234" s="17"/>
    </row>
    <row r="235" spans="1:10" ht="22.5" customHeight="1">
      <c r="A235" s="11" t="str">
        <f t="shared" si="15"/>
        <v>12201</v>
      </c>
      <c r="B235" s="12" t="s">
        <v>33</v>
      </c>
      <c r="C235" s="31"/>
      <c r="D235" s="31"/>
      <c r="E235" s="12" t="str">
        <f>"李书威"</f>
        <v>李书威</v>
      </c>
      <c r="F235" s="32" t="s">
        <v>13</v>
      </c>
      <c r="G235" s="16"/>
      <c r="H235" s="17"/>
      <c r="I235" s="17"/>
      <c r="J235" s="17"/>
    </row>
    <row r="236" spans="1:10" s="1" customFormat="1" ht="22.5" customHeight="1">
      <c r="A236" s="23" t="str">
        <f t="shared" si="15"/>
        <v>12201</v>
      </c>
      <c r="B236" s="14" t="s">
        <v>33</v>
      </c>
      <c r="C236" s="33"/>
      <c r="D236" s="33"/>
      <c r="E236" s="14" t="str">
        <f>"何鹏"</f>
        <v>何鹏</v>
      </c>
      <c r="F236" s="32" t="s">
        <v>13</v>
      </c>
      <c r="G236" s="16"/>
      <c r="H236" s="16"/>
      <c r="I236" s="16"/>
      <c r="J236" s="16"/>
    </row>
    <row r="237" spans="1:10" s="1" customFormat="1" ht="22.5" customHeight="1">
      <c r="A237" s="34"/>
      <c r="B237" s="35"/>
      <c r="C237" s="35"/>
      <c r="D237" s="35"/>
      <c r="E237" s="35"/>
      <c r="F237" s="35"/>
      <c r="G237" s="35"/>
      <c r="H237" s="35"/>
      <c r="I237" s="35"/>
      <c r="J237" s="36"/>
    </row>
    <row r="238" spans="1:10" ht="22.5" customHeight="1">
      <c r="A238" s="11" t="str">
        <f aca="true" t="shared" si="16" ref="A238:A244">"12301"</f>
        <v>12301</v>
      </c>
      <c r="B238" s="12" t="s">
        <v>34</v>
      </c>
      <c r="C238" s="13">
        <v>1</v>
      </c>
      <c r="D238" s="13">
        <v>1</v>
      </c>
      <c r="E238" s="14" t="str">
        <f>"万小童"</f>
        <v>万小童</v>
      </c>
      <c r="F238" s="15">
        <v>82.52</v>
      </c>
      <c r="G238" s="16">
        <f>F238*0.8</f>
        <v>66.016</v>
      </c>
      <c r="H238" s="17">
        <v>92</v>
      </c>
      <c r="I238" s="17">
        <f>H238*0.2</f>
        <v>18.400000000000002</v>
      </c>
      <c r="J238" s="16">
        <f>G238+I238</f>
        <v>84.41600000000001</v>
      </c>
    </row>
    <row r="239" spans="1:10" ht="22.5" customHeight="1">
      <c r="A239" s="11" t="str">
        <f t="shared" si="16"/>
        <v>12301</v>
      </c>
      <c r="B239" s="12" t="s">
        <v>34</v>
      </c>
      <c r="C239" s="31"/>
      <c r="D239" s="31"/>
      <c r="E239" s="14" t="str">
        <f>"李洁"</f>
        <v>李洁</v>
      </c>
      <c r="F239" s="15">
        <v>81.28</v>
      </c>
      <c r="G239" s="17">
        <f>F239*0.8</f>
        <v>65.024</v>
      </c>
      <c r="H239" s="17">
        <v>93</v>
      </c>
      <c r="I239" s="17">
        <f>H239*0.2</f>
        <v>18.6</v>
      </c>
      <c r="J239" s="17">
        <f>G239+I239</f>
        <v>83.624</v>
      </c>
    </row>
    <row r="240" spans="1:10" ht="22.5" customHeight="1">
      <c r="A240" s="11" t="str">
        <f t="shared" si="16"/>
        <v>12301</v>
      </c>
      <c r="B240" s="12" t="s">
        <v>34</v>
      </c>
      <c r="C240" s="31"/>
      <c r="D240" s="31"/>
      <c r="E240" s="12" t="str">
        <f>"杨铭"</f>
        <v>杨铭</v>
      </c>
      <c r="F240" s="32" t="s">
        <v>13</v>
      </c>
      <c r="G240" s="16"/>
      <c r="H240" s="17"/>
      <c r="I240" s="17"/>
      <c r="J240" s="17"/>
    </row>
    <row r="241" spans="1:10" ht="22.5" customHeight="1">
      <c r="A241" s="11" t="str">
        <f t="shared" si="16"/>
        <v>12301</v>
      </c>
      <c r="B241" s="12" t="s">
        <v>34</v>
      </c>
      <c r="C241" s="31"/>
      <c r="D241" s="31"/>
      <c r="E241" s="12" t="str">
        <f>"魏小英"</f>
        <v>魏小英</v>
      </c>
      <c r="F241" s="32" t="s">
        <v>13</v>
      </c>
      <c r="G241" s="16"/>
      <c r="H241" s="17"/>
      <c r="I241" s="17"/>
      <c r="J241" s="17"/>
    </row>
    <row r="242" spans="1:10" ht="22.5" customHeight="1">
      <c r="A242" s="11" t="str">
        <f t="shared" si="16"/>
        <v>12301</v>
      </c>
      <c r="B242" s="12" t="s">
        <v>34</v>
      </c>
      <c r="C242" s="31"/>
      <c r="D242" s="31"/>
      <c r="E242" s="12" t="str">
        <f>"杨琴"</f>
        <v>杨琴</v>
      </c>
      <c r="F242" s="32" t="s">
        <v>13</v>
      </c>
      <c r="G242" s="16"/>
      <c r="H242" s="17"/>
      <c r="I242" s="17"/>
      <c r="J242" s="17"/>
    </row>
    <row r="243" spans="1:10" ht="22.5" customHeight="1">
      <c r="A243" s="11" t="str">
        <f t="shared" si="16"/>
        <v>12301</v>
      </c>
      <c r="B243" s="12" t="s">
        <v>34</v>
      </c>
      <c r="C243" s="31"/>
      <c r="D243" s="31"/>
      <c r="E243" s="12" t="str">
        <f>"张凯"</f>
        <v>张凯</v>
      </c>
      <c r="F243" s="32" t="s">
        <v>13</v>
      </c>
      <c r="G243" s="16"/>
      <c r="H243" s="17"/>
      <c r="I243" s="17"/>
      <c r="J243" s="17"/>
    </row>
    <row r="244" spans="1:10" s="1" customFormat="1" ht="22.5" customHeight="1">
      <c r="A244" s="23" t="str">
        <f t="shared" si="16"/>
        <v>12301</v>
      </c>
      <c r="B244" s="14" t="s">
        <v>34</v>
      </c>
      <c r="C244" s="33"/>
      <c r="D244" s="33"/>
      <c r="E244" s="14" t="str">
        <f>"周立"</f>
        <v>周立</v>
      </c>
      <c r="F244" s="32" t="s">
        <v>13</v>
      </c>
      <c r="G244" s="16"/>
      <c r="H244" s="16"/>
      <c r="I244" s="16"/>
      <c r="J244" s="16"/>
    </row>
    <row r="245" spans="1:10" s="1" customFormat="1" ht="22.5" customHeight="1">
      <c r="A245" s="34"/>
      <c r="B245" s="35"/>
      <c r="C245" s="35"/>
      <c r="D245" s="35"/>
      <c r="E245" s="35"/>
      <c r="F245" s="35"/>
      <c r="G245" s="35"/>
      <c r="H245" s="35"/>
      <c r="I245" s="35"/>
      <c r="J245" s="36"/>
    </row>
    <row r="246" spans="1:10" ht="22.5" customHeight="1">
      <c r="A246" s="11" t="str">
        <f>"12401"</f>
        <v>12401</v>
      </c>
      <c r="B246" s="12" t="s">
        <v>35</v>
      </c>
      <c r="C246" s="13">
        <v>1</v>
      </c>
      <c r="D246" s="13">
        <v>1</v>
      </c>
      <c r="E246" s="14" t="str">
        <f>"黄家娥"</f>
        <v>黄家娥</v>
      </c>
      <c r="F246" s="15">
        <v>82.66</v>
      </c>
      <c r="G246" s="16">
        <f>F246*0.8</f>
        <v>66.128</v>
      </c>
      <c r="H246" s="17">
        <v>92.5</v>
      </c>
      <c r="I246" s="17">
        <f>H246*0.2</f>
        <v>18.5</v>
      </c>
      <c r="J246" s="16">
        <f>G246+I246</f>
        <v>84.628</v>
      </c>
    </row>
    <row r="247" spans="1:10" ht="22.5" customHeight="1">
      <c r="A247" s="11" t="str">
        <f>"12401"</f>
        <v>12401</v>
      </c>
      <c r="B247" s="12" t="s">
        <v>35</v>
      </c>
      <c r="C247" s="31"/>
      <c r="D247" s="31"/>
      <c r="E247" s="14" t="str">
        <f>"张礼芳"</f>
        <v>张礼芳</v>
      </c>
      <c r="F247" s="15">
        <v>82.48</v>
      </c>
      <c r="G247" s="17">
        <f>F247*0.8</f>
        <v>65.98400000000001</v>
      </c>
      <c r="H247" s="17">
        <v>92.5</v>
      </c>
      <c r="I247" s="17">
        <f>H247*0.2</f>
        <v>18.5</v>
      </c>
      <c r="J247" s="17">
        <f>G247+I247</f>
        <v>84.48400000000001</v>
      </c>
    </row>
    <row r="248" spans="1:10" ht="22.5" customHeight="1">
      <c r="A248" s="11" t="str">
        <f>"12401"</f>
        <v>12401</v>
      </c>
      <c r="B248" s="12" t="s">
        <v>35</v>
      </c>
      <c r="C248" s="31"/>
      <c r="D248" s="31"/>
      <c r="E248" s="12" t="str">
        <f>"郑孝天"</f>
        <v>郑孝天</v>
      </c>
      <c r="F248" s="32" t="s">
        <v>13</v>
      </c>
      <c r="G248" s="16"/>
      <c r="H248" s="17"/>
      <c r="I248" s="17"/>
      <c r="J248" s="17"/>
    </row>
    <row r="249" spans="1:10" ht="22.5" customHeight="1">
      <c r="A249" s="11" t="str">
        <f>"12401"</f>
        <v>12401</v>
      </c>
      <c r="B249" s="12" t="s">
        <v>35</v>
      </c>
      <c r="C249" s="31"/>
      <c r="D249" s="31"/>
      <c r="E249" s="12" t="str">
        <f>"吴德林"</f>
        <v>吴德林</v>
      </c>
      <c r="F249" s="32" t="s">
        <v>13</v>
      </c>
      <c r="G249" s="16"/>
      <c r="H249" s="17"/>
      <c r="I249" s="17"/>
      <c r="J249" s="17"/>
    </row>
    <row r="250" spans="1:10" s="1" customFormat="1" ht="22.5" customHeight="1">
      <c r="A250" s="23" t="str">
        <f>"12401"</f>
        <v>12401</v>
      </c>
      <c r="B250" s="14" t="s">
        <v>35</v>
      </c>
      <c r="C250" s="33"/>
      <c r="D250" s="33"/>
      <c r="E250" s="14" t="str">
        <f>"谢青松"</f>
        <v>谢青松</v>
      </c>
      <c r="F250" s="32" t="s">
        <v>13</v>
      </c>
      <c r="G250" s="16"/>
      <c r="H250" s="16"/>
      <c r="I250" s="16"/>
      <c r="J250" s="16"/>
    </row>
    <row r="251" spans="1:10" s="1" customFormat="1" ht="22.5" customHeight="1">
      <c r="A251" s="34"/>
      <c r="B251" s="35"/>
      <c r="C251" s="35"/>
      <c r="D251" s="35"/>
      <c r="E251" s="35"/>
      <c r="F251" s="35"/>
      <c r="G251" s="35"/>
      <c r="H251" s="35"/>
      <c r="I251" s="35"/>
      <c r="J251" s="36"/>
    </row>
    <row r="252" spans="1:10" ht="22.5" customHeight="1">
      <c r="A252" s="11" t="str">
        <f aca="true" t="shared" si="17" ref="A252:A258">"12501"</f>
        <v>12501</v>
      </c>
      <c r="B252" s="12" t="s">
        <v>36</v>
      </c>
      <c r="C252" s="13">
        <v>1</v>
      </c>
      <c r="D252" s="13">
        <v>1</v>
      </c>
      <c r="E252" s="14" t="str">
        <f>"王晓菲"</f>
        <v>王晓菲</v>
      </c>
      <c r="F252" s="15">
        <v>84.52</v>
      </c>
      <c r="G252" s="16">
        <f>F252*0.8</f>
        <v>67.616</v>
      </c>
      <c r="H252" s="17">
        <v>94</v>
      </c>
      <c r="I252" s="17">
        <f>H252*0.2</f>
        <v>18.8</v>
      </c>
      <c r="J252" s="16">
        <f>G252+I252</f>
        <v>86.416</v>
      </c>
    </row>
    <row r="253" spans="1:10" ht="22.5" customHeight="1">
      <c r="A253" s="11" t="str">
        <f t="shared" si="17"/>
        <v>12501</v>
      </c>
      <c r="B253" s="12" t="s">
        <v>36</v>
      </c>
      <c r="C253" s="31"/>
      <c r="D253" s="31"/>
      <c r="E253" s="14" t="str">
        <f>"张汇"</f>
        <v>张汇</v>
      </c>
      <c r="F253" s="15">
        <v>83.4</v>
      </c>
      <c r="G253" s="17">
        <f>F253*0.8</f>
        <v>66.72000000000001</v>
      </c>
      <c r="H253" s="17">
        <v>92.5</v>
      </c>
      <c r="I253" s="17">
        <f>H253*0.2</f>
        <v>18.5</v>
      </c>
      <c r="J253" s="17">
        <f>G253+I253</f>
        <v>85.22000000000001</v>
      </c>
    </row>
    <row r="254" spans="1:10" ht="22.5" customHeight="1">
      <c r="A254" s="11" t="str">
        <f t="shared" si="17"/>
        <v>12501</v>
      </c>
      <c r="B254" s="12" t="s">
        <v>36</v>
      </c>
      <c r="C254" s="31"/>
      <c r="D254" s="31"/>
      <c r="E254" s="14" t="str">
        <f>"胡芳"</f>
        <v>胡芳</v>
      </c>
      <c r="F254" s="15">
        <v>83.08</v>
      </c>
      <c r="G254" s="17">
        <f>F254*0.8</f>
        <v>66.464</v>
      </c>
      <c r="H254" s="17">
        <v>92.5</v>
      </c>
      <c r="I254" s="17">
        <f>H254*0.2</f>
        <v>18.5</v>
      </c>
      <c r="J254" s="17">
        <f>G254+I254</f>
        <v>84.964</v>
      </c>
    </row>
    <row r="255" spans="1:10" ht="22.5" customHeight="1">
      <c r="A255" s="11" t="str">
        <f t="shared" si="17"/>
        <v>12501</v>
      </c>
      <c r="B255" s="12" t="s">
        <v>36</v>
      </c>
      <c r="C255" s="31"/>
      <c r="D255" s="31"/>
      <c r="E255" s="12" t="str">
        <f>"万蓉"</f>
        <v>万蓉</v>
      </c>
      <c r="F255" s="32" t="s">
        <v>13</v>
      </c>
      <c r="G255" s="16"/>
      <c r="H255" s="17"/>
      <c r="I255" s="17"/>
      <c r="J255" s="17"/>
    </row>
    <row r="256" spans="1:10" ht="22.5" customHeight="1">
      <c r="A256" s="11" t="str">
        <f t="shared" si="17"/>
        <v>12501</v>
      </c>
      <c r="B256" s="12" t="s">
        <v>36</v>
      </c>
      <c r="C256" s="31"/>
      <c r="D256" s="31"/>
      <c r="E256" s="12" t="str">
        <f>"杨思柳"</f>
        <v>杨思柳</v>
      </c>
      <c r="F256" s="32" t="s">
        <v>13</v>
      </c>
      <c r="G256" s="16"/>
      <c r="H256" s="17"/>
      <c r="I256" s="17"/>
      <c r="J256" s="17"/>
    </row>
    <row r="257" spans="1:10" ht="22.5" customHeight="1">
      <c r="A257" s="11" t="str">
        <f t="shared" si="17"/>
        <v>12501</v>
      </c>
      <c r="B257" s="12" t="s">
        <v>36</v>
      </c>
      <c r="C257" s="31"/>
      <c r="D257" s="31"/>
      <c r="E257" s="12" t="str">
        <f>"潘文倩"</f>
        <v>潘文倩</v>
      </c>
      <c r="F257" s="32" t="s">
        <v>13</v>
      </c>
      <c r="G257" s="16"/>
      <c r="H257" s="17"/>
      <c r="I257" s="17"/>
      <c r="J257" s="17"/>
    </row>
    <row r="258" spans="1:10" s="1" customFormat="1" ht="22.5" customHeight="1">
      <c r="A258" s="23" t="str">
        <f t="shared" si="17"/>
        <v>12501</v>
      </c>
      <c r="B258" s="14" t="s">
        <v>36</v>
      </c>
      <c r="C258" s="33"/>
      <c r="D258" s="33"/>
      <c r="E258" s="14" t="str">
        <f>"郭迪满"</f>
        <v>郭迪满</v>
      </c>
      <c r="F258" s="32" t="s">
        <v>13</v>
      </c>
      <c r="G258" s="16"/>
      <c r="H258" s="16"/>
      <c r="I258" s="16"/>
      <c r="J258" s="16"/>
    </row>
    <row r="259" spans="1:10" s="1" customFormat="1" ht="22.5" customHeight="1">
      <c r="A259" s="34"/>
      <c r="B259" s="35"/>
      <c r="C259" s="35"/>
      <c r="D259" s="35"/>
      <c r="E259" s="35"/>
      <c r="F259" s="35"/>
      <c r="G259" s="35"/>
      <c r="H259" s="35"/>
      <c r="I259" s="35"/>
      <c r="J259" s="36"/>
    </row>
    <row r="260" spans="1:10" ht="22.5" customHeight="1">
      <c r="A260" s="11" t="str">
        <f>"12601"</f>
        <v>12601</v>
      </c>
      <c r="B260" s="12" t="s">
        <v>36</v>
      </c>
      <c r="C260" s="13">
        <v>1</v>
      </c>
      <c r="D260" s="13">
        <v>1</v>
      </c>
      <c r="E260" s="14" t="str">
        <f>"付豪"</f>
        <v>付豪</v>
      </c>
      <c r="F260" s="15">
        <v>84.22</v>
      </c>
      <c r="G260" s="17">
        <f>F260*0.8</f>
        <v>67.376</v>
      </c>
      <c r="H260" s="17">
        <v>92.5</v>
      </c>
      <c r="I260" s="17">
        <f>H260*0.2</f>
        <v>18.5</v>
      </c>
      <c r="J260" s="17">
        <f>G260+I260</f>
        <v>85.876</v>
      </c>
    </row>
    <row r="261" spans="1:10" ht="22.5" customHeight="1">
      <c r="A261" s="11" t="str">
        <f>"12601"</f>
        <v>12601</v>
      </c>
      <c r="B261" s="12" t="s">
        <v>36</v>
      </c>
      <c r="C261" s="31"/>
      <c r="D261" s="31"/>
      <c r="E261" s="12" t="str">
        <f>"庄秋雨"</f>
        <v>庄秋雨</v>
      </c>
      <c r="F261" s="32" t="s">
        <v>13</v>
      </c>
      <c r="G261" s="16"/>
      <c r="H261" s="17"/>
      <c r="I261" s="17"/>
      <c r="J261" s="17"/>
    </row>
    <row r="262" spans="1:10" s="1" customFormat="1" ht="22.5" customHeight="1">
      <c r="A262" s="23" t="str">
        <f>"12601"</f>
        <v>12601</v>
      </c>
      <c r="B262" s="14" t="s">
        <v>36</v>
      </c>
      <c r="C262" s="33"/>
      <c r="D262" s="33"/>
      <c r="E262" s="14" t="str">
        <f>"郝月"</f>
        <v>郝月</v>
      </c>
      <c r="F262" s="32" t="s">
        <v>13</v>
      </c>
      <c r="G262" s="16"/>
      <c r="H262" s="16"/>
      <c r="I262" s="16"/>
      <c r="J262" s="16"/>
    </row>
    <row r="263" spans="1:10" s="1" customFormat="1" ht="22.5" customHeight="1">
      <c r="A263" s="34"/>
      <c r="B263" s="35"/>
      <c r="C263" s="35"/>
      <c r="D263" s="35"/>
      <c r="E263" s="35"/>
      <c r="F263" s="35"/>
      <c r="G263" s="35"/>
      <c r="H263" s="35"/>
      <c r="I263" s="35"/>
      <c r="J263" s="36"/>
    </row>
    <row r="264" spans="1:10" ht="22.5" customHeight="1">
      <c r="A264" s="11" t="str">
        <f aca="true" t="shared" si="18" ref="A264:A273">"12701"</f>
        <v>12701</v>
      </c>
      <c r="B264" s="12" t="s">
        <v>37</v>
      </c>
      <c r="C264" s="13">
        <v>3</v>
      </c>
      <c r="D264" s="13">
        <v>3</v>
      </c>
      <c r="E264" s="14" t="str">
        <f>"雷宇恒"</f>
        <v>雷宇恒</v>
      </c>
      <c r="F264" s="15">
        <v>85.16</v>
      </c>
      <c r="G264" s="17">
        <f>F264*0.8</f>
        <v>68.128</v>
      </c>
      <c r="H264" s="17">
        <v>93</v>
      </c>
      <c r="I264" s="17">
        <f>H264*0.2</f>
        <v>18.6</v>
      </c>
      <c r="J264" s="17">
        <f>G264+I264</f>
        <v>86.72800000000001</v>
      </c>
    </row>
    <row r="265" spans="1:10" ht="22.5" customHeight="1">
      <c r="A265" s="11" t="str">
        <f t="shared" si="18"/>
        <v>12701</v>
      </c>
      <c r="B265" s="12" t="s">
        <v>37</v>
      </c>
      <c r="C265" s="31"/>
      <c r="D265" s="31"/>
      <c r="E265" s="14" t="str">
        <f>"张科"</f>
        <v>张科</v>
      </c>
      <c r="F265" s="15">
        <v>83.54</v>
      </c>
      <c r="G265" s="17">
        <f>F265*0.8</f>
        <v>66.83200000000001</v>
      </c>
      <c r="H265" s="17">
        <v>94.5</v>
      </c>
      <c r="I265" s="17">
        <f>H265*0.2</f>
        <v>18.900000000000002</v>
      </c>
      <c r="J265" s="17">
        <f>G265+I265</f>
        <v>85.73200000000001</v>
      </c>
    </row>
    <row r="266" spans="1:10" ht="22.5" customHeight="1">
      <c r="A266" s="11" t="str">
        <f t="shared" si="18"/>
        <v>12701</v>
      </c>
      <c r="B266" s="12" t="s">
        <v>37</v>
      </c>
      <c r="C266" s="31"/>
      <c r="D266" s="31"/>
      <c r="E266" s="14" t="str">
        <f>"黄佳旗"</f>
        <v>黄佳旗</v>
      </c>
      <c r="F266" s="15">
        <v>83.02</v>
      </c>
      <c r="G266" s="17">
        <f>F266*0.8</f>
        <v>66.416</v>
      </c>
      <c r="H266" s="17">
        <v>92</v>
      </c>
      <c r="I266" s="17">
        <f>H266*0.2</f>
        <v>18.400000000000002</v>
      </c>
      <c r="J266" s="17">
        <f>G266+I266</f>
        <v>84.816</v>
      </c>
    </row>
    <row r="267" spans="1:10" ht="22.5" customHeight="1">
      <c r="A267" s="11" t="str">
        <f t="shared" si="18"/>
        <v>12701</v>
      </c>
      <c r="B267" s="12" t="s">
        <v>37</v>
      </c>
      <c r="C267" s="31"/>
      <c r="D267" s="31"/>
      <c r="E267" s="12" t="str">
        <f>"褚晓玲"</f>
        <v>褚晓玲</v>
      </c>
      <c r="F267" s="32" t="s">
        <v>13</v>
      </c>
      <c r="G267" s="16"/>
      <c r="H267" s="17"/>
      <c r="I267" s="17"/>
      <c r="J267" s="17"/>
    </row>
    <row r="268" spans="1:10" ht="22.5" customHeight="1">
      <c r="A268" s="11" t="str">
        <f t="shared" si="18"/>
        <v>12701</v>
      </c>
      <c r="B268" s="12" t="s">
        <v>37</v>
      </c>
      <c r="C268" s="31"/>
      <c r="D268" s="31"/>
      <c r="E268" s="12" t="str">
        <f>"李厚辰"</f>
        <v>李厚辰</v>
      </c>
      <c r="F268" s="32" t="s">
        <v>13</v>
      </c>
      <c r="G268" s="16"/>
      <c r="H268" s="17"/>
      <c r="I268" s="17"/>
      <c r="J268" s="17"/>
    </row>
    <row r="269" spans="1:10" ht="22.5" customHeight="1">
      <c r="A269" s="11" t="str">
        <f t="shared" si="18"/>
        <v>12701</v>
      </c>
      <c r="B269" s="12" t="s">
        <v>37</v>
      </c>
      <c r="C269" s="31"/>
      <c r="D269" s="31"/>
      <c r="E269" s="12" t="str">
        <f>"陈东升"</f>
        <v>陈东升</v>
      </c>
      <c r="F269" s="32" t="s">
        <v>13</v>
      </c>
      <c r="G269" s="16"/>
      <c r="H269" s="17"/>
      <c r="I269" s="17"/>
      <c r="J269" s="17"/>
    </row>
    <row r="270" spans="1:10" ht="22.5" customHeight="1">
      <c r="A270" s="11" t="str">
        <f t="shared" si="18"/>
        <v>12701</v>
      </c>
      <c r="B270" s="12" t="s">
        <v>37</v>
      </c>
      <c r="C270" s="31"/>
      <c r="D270" s="31"/>
      <c r="E270" s="12" t="str">
        <f>"陈永海"</f>
        <v>陈永海</v>
      </c>
      <c r="F270" s="32" t="s">
        <v>13</v>
      </c>
      <c r="G270" s="16"/>
      <c r="H270" s="17"/>
      <c r="I270" s="17"/>
      <c r="J270" s="17"/>
    </row>
    <row r="271" spans="1:10" ht="22.5" customHeight="1">
      <c r="A271" s="11" t="str">
        <f t="shared" si="18"/>
        <v>12701</v>
      </c>
      <c r="B271" s="12" t="s">
        <v>37</v>
      </c>
      <c r="C271" s="31"/>
      <c r="D271" s="31"/>
      <c r="E271" s="12" t="str">
        <f>"马学威"</f>
        <v>马学威</v>
      </c>
      <c r="F271" s="32" t="s">
        <v>13</v>
      </c>
      <c r="G271" s="16"/>
      <c r="H271" s="17"/>
      <c r="I271" s="17"/>
      <c r="J271" s="17"/>
    </row>
    <row r="272" spans="1:10" ht="22.5" customHeight="1">
      <c r="A272" s="11" t="str">
        <f t="shared" si="18"/>
        <v>12701</v>
      </c>
      <c r="B272" s="12" t="s">
        <v>37</v>
      </c>
      <c r="C272" s="31"/>
      <c r="D272" s="31"/>
      <c r="E272" s="12" t="str">
        <f>"刘鹏飞"</f>
        <v>刘鹏飞</v>
      </c>
      <c r="F272" s="32" t="s">
        <v>13</v>
      </c>
      <c r="G272" s="16"/>
      <c r="H272" s="17"/>
      <c r="I272" s="17"/>
      <c r="J272" s="17"/>
    </row>
    <row r="273" spans="1:10" s="1" customFormat="1" ht="22.5" customHeight="1">
      <c r="A273" s="23" t="str">
        <f t="shared" si="18"/>
        <v>12701</v>
      </c>
      <c r="B273" s="14" t="s">
        <v>37</v>
      </c>
      <c r="C273" s="33"/>
      <c r="D273" s="33"/>
      <c r="E273" s="14" t="str">
        <f>"彭琳"</f>
        <v>彭琳</v>
      </c>
      <c r="F273" s="32" t="s">
        <v>13</v>
      </c>
      <c r="G273" s="16"/>
      <c r="H273" s="16"/>
      <c r="I273" s="16"/>
      <c r="J273" s="16"/>
    </row>
    <row r="274" spans="1:10" s="1" customFormat="1" ht="22.5" customHeight="1">
      <c r="A274" s="34"/>
      <c r="B274" s="35"/>
      <c r="C274" s="35"/>
      <c r="D274" s="35"/>
      <c r="E274" s="35"/>
      <c r="F274" s="35"/>
      <c r="G274" s="35"/>
      <c r="H274" s="35"/>
      <c r="I274" s="35"/>
      <c r="J274" s="36"/>
    </row>
    <row r="275" spans="1:10" ht="22.5" customHeight="1">
      <c r="A275" s="11" t="str">
        <f aca="true" t="shared" si="19" ref="A275:A288">"12801"</f>
        <v>12801</v>
      </c>
      <c r="B275" s="12" t="s">
        <v>38</v>
      </c>
      <c r="C275" s="13">
        <v>3</v>
      </c>
      <c r="D275" s="13">
        <v>3</v>
      </c>
      <c r="E275" s="14" t="str">
        <f>"扶韦"</f>
        <v>扶韦</v>
      </c>
      <c r="F275" s="15">
        <v>84.64</v>
      </c>
      <c r="G275" s="16">
        <f aca="true" t="shared" si="20" ref="G275:G280">F275*0.8</f>
        <v>67.712</v>
      </c>
      <c r="H275" s="17">
        <v>93</v>
      </c>
      <c r="I275" s="17">
        <f>H275*0.2</f>
        <v>18.6</v>
      </c>
      <c r="J275" s="16">
        <f>G275+I275</f>
        <v>86.31200000000001</v>
      </c>
    </row>
    <row r="276" spans="1:10" ht="22.5" customHeight="1">
      <c r="A276" s="11" t="str">
        <f t="shared" si="19"/>
        <v>12801</v>
      </c>
      <c r="B276" s="12" t="s">
        <v>38</v>
      </c>
      <c r="C276" s="31"/>
      <c r="D276" s="31"/>
      <c r="E276" s="14" t="str">
        <f>"杜雪杰"</f>
        <v>杜雪杰</v>
      </c>
      <c r="F276" s="15">
        <v>84.64</v>
      </c>
      <c r="G276" s="16">
        <f t="shared" si="20"/>
        <v>67.712</v>
      </c>
      <c r="H276" s="17">
        <v>93</v>
      </c>
      <c r="I276" s="17">
        <f>H276*0.2</f>
        <v>18.6</v>
      </c>
      <c r="J276" s="16">
        <f>G276+I276</f>
        <v>86.31200000000001</v>
      </c>
    </row>
    <row r="277" spans="1:10" ht="22.5" customHeight="1">
      <c r="A277" s="11" t="str">
        <f t="shared" si="19"/>
        <v>12801</v>
      </c>
      <c r="B277" s="12" t="s">
        <v>38</v>
      </c>
      <c r="C277" s="31"/>
      <c r="D277" s="31"/>
      <c r="E277" s="14" t="str">
        <f>"欧阳瑞祥"</f>
        <v>欧阳瑞祥</v>
      </c>
      <c r="F277" s="15">
        <v>84.28</v>
      </c>
      <c r="G277" s="16">
        <f t="shared" si="20"/>
        <v>67.424</v>
      </c>
      <c r="H277" s="17">
        <v>93.5</v>
      </c>
      <c r="I277" s="17">
        <f>H277*0.2</f>
        <v>18.7</v>
      </c>
      <c r="J277" s="16">
        <f>G277+I277</f>
        <v>86.12400000000001</v>
      </c>
    </row>
    <row r="278" spans="1:10" ht="22.5" customHeight="1">
      <c r="A278" s="11" t="str">
        <f t="shared" si="19"/>
        <v>12801</v>
      </c>
      <c r="B278" s="12" t="s">
        <v>38</v>
      </c>
      <c r="C278" s="31"/>
      <c r="D278" s="31"/>
      <c r="E278" s="14" t="str">
        <f>"彭优"</f>
        <v>彭优</v>
      </c>
      <c r="F278" s="15">
        <v>84</v>
      </c>
      <c r="G278" s="17">
        <f t="shared" si="20"/>
        <v>67.2</v>
      </c>
      <c r="H278" s="17">
        <v>93.5</v>
      </c>
      <c r="I278" s="17">
        <f>H278*0.2</f>
        <v>18.7</v>
      </c>
      <c r="J278" s="17">
        <f>G278+I278</f>
        <v>85.9</v>
      </c>
    </row>
    <row r="279" spans="1:10" ht="22.5" customHeight="1">
      <c r="A279" s="11" t="str">
        <f t="shared" si="19"/>
        <v>12801</v>
      </c>
      <c r="B279" s="12" t="s">
        <v>38</v>
      </c>
      <c r="C279" s="31"/>
      <c r="D279" s="31"/>
      <c r="E279" s="14" t="str">
        <f>"王嘉豪"</f>
        <v>王嘉豪</v>
      </c>
      <c r="F279" s="15">
        <v>82.92</v>
      </c>
      <c r="G279" s="17">
        <f t="shared" si="20"/>
        <v>66.336</v>
      </c>
      <c r="H279" s="17">
        <v>93.5</v>
      </c>
      <c r="I279" s="17">
        <f>H279*0.2</f>
        <v>18.7</v>
      </c>
      <c r="J279" s="17">
        <f>G279+I279</f>
        <v>85.036</v>
      </c>
    </row>
    <row r="280" spans="1:10" ht="22.5" customHeight="1">
      <c r="A280" s="11" t="str">
        <f t="shared" si="19"/>
        <v>12801</v>
      </c>
      <c r="B280" s="12" t="s">
        <v>38</v>
      </c>
      <c r="C280" s="31"/>
      <c r="D280" s="31"/>
      <c r="E280" s="14" t="str">
        <f>"曾成"</f>
        <v>曾成</v>
      </c>
      <c r="F280" s="15">
        <v>83.14</v>
      </c>
      <c r="G280" s="17">
        <f t="shared" si="20"/>
        <v>66.512</v>
      </c>
      <c r="H280" s="17">
        <v>92.5</v>
      </c>
      <c r="I280" s="17">
        <f>H280*0.2</f>
        <v>18.5</v>
      </c>
      <c r="J280" s="17">
        <f>G280+I280</f>
        <v>85.012</v>
      </c>
    </row>
    <row r="281" spans="1:10" ht="22.5" customHeight="1">
      <c r="A281" s="11" t="str">
        <f t="shared" si="19"/>
        <v>12801</v>
      </c>
      <c r="B281" s="12" t="s">
        <v>38</v>
      </c>
      <c r="C281" s="31"/>
      <c r="D281" s="31"/>
      <c r="E281" s="12" t="str">
        <f>"范依涵"</f>
        <v>范依涵</v>
      </c>
      <c r="F281" s="32" t="s">
        <v>13</v>
      </c>
      <c r="G281" s="16"/>
      <c r="H281" s="17"/>
      <c r="I281" s="17"/>
      <c r="J281" s="17"/>
    </row>
    <row r="282" spans="1:10" ht="22.5" customHeight="1">
      <c r="A282" s="11" t="str">
        <f t="shared" si="19"/>
        <v>12801</v>
      </c>
      <c r="B282" s="12" t="s">
        <v>38</v>
      </c>
      <c r="C282" s="31"/>
      <c r="D282" s="31"/>
      <c r="E282" s="12" t="str">
        <f>"赵宁宁"</f>
        <v>赵宁宁</v>
      </c>
      <c r="F282" s="32" t="s">
        <v>13</v>
      </c>
      <c r="G282" s="16"/>
      <c r="H282" s="17"/>
      <c r="I282" s="17"/>
      <c r="J282" s="17"/>
    </row>
    <row r="283" spans="1:10" ht="22.5" customHeight="1">
      <c r="A283" s="11" t="str">
        <f t="shared" si="19"/>
        <v>12801</v>
      </c>
      <c r="B283" s="12" t="s">
        <v>38</v>
      </c>
      <c r="C283" s="31"/>
      <c r="D283" s="31"/>
      <c r="E283" s="12" t="str">
        <f>"巩希锋"</f>
        <v>巩希锋</v>
      </c>
      <c r="F283" s="32" t="s">
        <v>13</v>
      </c>
      <c r="G283" s="16"/>
      <c r="H283" s="17"/>
      <c r="I283" s="17"/>
      <c r="J283" s="17"/>
    </row>
    <row r="284" spans="1:10" ht="22.5" customHeight="1">
      <c r="A284" s="11" t="str">
        <f t="shared" si="19"/>
        <v>12801</v>
      </c>
      <c r="B284" s="12" t="s">
        <v>38</v>
      </c>
      <c r="C284" s="31"/>
      <c r="D284" s="31"/>
      <c r="E284" s="12" t="str">
        <f>"刘婧"</f>
        <v>刘婧</v>
      </c>
      <c r="F284" s="32" t="s">
        <v>13</v>
      </c>
      <c r="G284" s="16"/>
      <c r="H284" s="17"/>
      <c r="I284" s="17"/>
      <c r="J284" s="17"/>
    </row>
    <row r="285" spans="1:10" ht="22.5" customHeight="1">
      <c r="A285" s="11" t="str">
        <f t="shared" si="19"/>
        <v>12801</v>
      </c>
      <c r="B285" s="12" t="s">
        <v>38</v>
      </c>
      <c r="C285" s="31"/>
      <c r="D285" s="31"/>
      <c r="E285" s="12" t="str">
        <f>"程晶"</f>
        <v>程晶</v>
      </c>
      <c r="F285" s="32" t="s">
        <v>13</v>
      </c>
      <c r="G285" s="16"/>
      <c r="H285" s="17"/>
      <c r="I285" s="17"/>
      <c r="J285" s="17"/>
    </row>
    <row r="286" spans="1:10" ht="22.5" customHeight="1">
      <c r="A286" s="11" t="str">
        <f t="shared" si="19"/>
        <v>12801</v>
      </c>
      <c r="B286" s="12" t="s">
        <v>38</v>
      </c>
      <c r="C286" s="31"/>
      <c r="D286" s="31"/>
      <c r="E286" s="12" t="str">
        <f>"袁辉煌"</f>
        <v>袁辉煌</v>
      </c>
      <c r="F286" s="32" t="s">
        <v>13</v>
      </c>
      <c r="G286" s="16"/>
      <c r="H286" s="17"/>
      <c r="I286" s="17"/>
      <c r="J286" s="17"/>
    </row>
    <row r="287" spans="1:10" ht="22.5" customHeight="1">
      <c r="A287" s="11" t="str">
        <f t="shared" si="19"/>
        <v>12801</v>
      </c>
      <c r="B287" s="12" t="s">
        <v>38</v>
      </c>
      <c r="C287" s="31"/>
      <c r="D287" s="31"/>
      <c r="E287" s="12" t="str">
        <f>"王瀚霆"</f>
        <v>王瀚霆</v>
      </c>
      <c r="F287" s="32" t="s">
        <v>13</v>
      </c>
      <c r="G287" s="16"/>
      <c r="H287" s="17"/>
      <c r="I287" s="17"/>
      <c r="J287" s="17"/>
    </row>
    <row r="288" spans="1:10" s="1" customFormat="1" ht="22.5" customHeight="1">
      <c r="A288" s="23" t="str">
        <f t="shared" si="19"/>
        <v>12801</v>
      </c>
      <c r="B288" s="14" t="s">
        <v>38</v>
      </c>
      <c r="C288" s="33"/>
      <c r="D288" s="33"/>
      <c r="E288" s="14" t="str">
        <f>"宋瑞如"</f>
        <v>宋瑞如</v>
      </c>
      <c r="F288" s="32" t="s">
        <v>13</v>
      </c>
      <c r="G288" s="16"/>
      <c r="H288" s="16"/>
      <c r="I288" s="16"/>
      <c r="J288" s="16"/>
    </row>
    <row r="289" spans="1:10" s="1" customFormat="1" ht="22.5" customHeight="1">
      <c r="A289" s="34"/>
      <c r="B289" s="35"/>
      <c r="C289" s="35"/>
      <c r="D289" s="35"/>
      <c r="E289" s="35"/>
      <c r="F289" s="35"/>
      <c r="G289" s="35"/>
      <c r="H289" s="35"/>
      <c r="I289" s="35"/>
      <c r="J289" s="36"/>
    </row>
    <row r="290" spans="1:10" ht="22.5" customHeight="1">
      <c r="A290" s="11" t="str">
        <f aca="true" t="shared" si="21" ref="A290:A301">"12901"</f>
        <v>12901</v>
      </c>
      <c r="B290" s="12" t="s">
        <v>39</v>
      </c>
      <c r="C290" s="13">
        <v>3</v>
      </c>
      <c r="D290" s="13">
        <v>3</v>
      </c>
      <c r="E290" s="14" t="str">
        <f>"李文艳"</f>
        <v>李文艳</v>
      </c>
      <c r="F290" s="15">
        <v>85.06</v>
      </c>
      <c r="G290" s="17">
        <f>F290*0.8</f>
        <v>68.048</v>
      </c>
      <c r="H290" s="17">
        <v>92.5</v>
      </c>
      <c r="I290" s="17">
        <f>H290*0.2</f>
        <v>18.5</v>
      </c>
      <c r="J290" s="17">
        <f>G290+I290</f>
        <v>86.548</v>
      </c>
    </row>
    <row r="291" spans="1:10" ht="22.5" customHeight="1">
      <c r="A291" s="11" t="str">
        <f t="shared" si="21"/>
        <v>12901</v>
      </c>
      <c r="B291" s="12" t="s">
        <v>39</v>
      </c>
      <c r="C291" s="31"/>
      <c r="D291" s="31"/>
      <c r="E291" s="14" t="str">
        <f>"闫国民"</f>
        <v>闫国民</v>
      </c>
      <c r="F291" s="15">
        <v>82.7</v>
      </c>
      <c r="G291" s="17">
        <f>F291*0.8</f>
        <v>66.16000000000001</v>
      </c>
      <c r="H291" s="17">
        <v>93</v>
      </c>
      <c r="I291" s="17">
        <f>H291*0.2</f>
        <v>18.6</v>
      </c>
      <c r="J291" s="17">
        <f>G291+I291</f>
        <v>84.76000000000002</v>
      </c>
    </row>
    <row r="292" spans="1:10" ht="22.5" customHeight="1">
      <c r="A292" s="11" t="str">
        <f t="shared" si="21"/>
        <v>12901</v>
      </c>
      <c r="B292" s="12" t="s">
        <v>39</v>
      </c>
      <c r="C292" s="31"/>
      <c r="D292" s="31"/>
      <c r="E292" s="14" t="str">
        <f>"杨成刚"</f>
        <v>杨成刚</v>
      </c>
      <c r="F292" s="15">
        <v>82.06</v>
      </c>
      <c r="G292" s="17">
        <f>F292*0.8</f>
        <v>65.64800000000001</v>
      </c>
      <c r="H292" s="17">
        <v>95</v>
      </c>
      <c r="I292" s="17">
        <f>H292*0.2</f>
        <v>19</v>
      </c>
      <c r="J292" s="17">
        <f>G292+I292</f>
        <v>84.64800000000001</v>
      </c>
    </row>
    <row r="293" spans="1:10" ht="22.5" customHeight="1">
      <c r="A293" s="11" t="str">
        <f t="shared" si="21"/>
        <v>12901</v>
      </c>
      <c r="B293" s="12" t="s">
        <v>39</v>
      </c>
      <c r="C293" s="31"/>
      <c r="D293" s="31"/>
      <c r="E293" s="12" t="str">
        <f>"谢小乐"</f>
        <v>谢小乐</v>
      </c>
      <c r="F293" s="32" t="s">
        <v>13</v>
      </c>
      <c r="G293" s="16"/>
      <c r="H293" s="17"/>
      <c r="I293" s="17"/>
      <c r="J293" s="17"/>
    </row>
    <row r="294" spans="1:10" ht="22.5" customHeight="1">
      <c r="A294" s="11" t="str">
        <f t="shared" si="21"/>
        <v>12901</v>
      </c>
      <c r="B294" s="12" t="s">
        <v>39</v>
      </c>
      <c r="C294" s="31"/>
      <c r="D294" s="31"/>
      <c r="E294" s="12" t="str">
        <f>"沈梓柔"</f>
        <v>沈梓柔</v>
      </c>
      <c r="F294" s="32" t="s">
        <v>13</v>
      </c>
      <c r="G294" s="16"/>
      <c r="H294" s="17"/>
      <c r="I294" s="17"/>
      <c r="J294" s="17"/>
    </row>
    <row r="295" spans="1:10" ht="22.5" customHeight="1">
      <c r="A295" s="11" t="str">
        <f t="shared" si="21"/>
        <v>12901</v>
      </c>
      <c r="B295" s="12" t="s">
        <v>39</v>
      </c>
      <c r="C295" s="31"/>
      <c r="D295" s="31"/>
      <c r="E295" s="12" t="str">
        <f>"胡浪"</f>
        <v>胡浪</v>
      </c>
      <c r="F295" s="32" t="s">
        <v>13</v>
      </c>
      <c r="G295" s="16"/>
      <c r="H295" s="17"/>
      <c r="I295" s="17"/>
      <c r="J295" s="17"/>
    </row>
    <row r="296" spans="1:10" ht="22.5" customHeight="1">
      <c r="A296" s="11" t="str">
        <f t="shared" si="21"/>
        <v>12901</v>
      </c>
      <c r="B296" s="12" t="s">
        <v>39</v>
      </c>
      <c r="C296" s="31"/>
      <c r="D296" s="31"/>
      <c r="E296" s="12" t="str">
        <f>"李金龙"</f>
        <v>李金龙</v>
      </c>
      <c r="F296" s="32" t="s">
        <v>13</v>
      </c>
      <c r="G296" s="16"/>
      <c r="H296" s="17"/>
      <c r="I296" s="17"/>
      <c r="J296" s="17"/>
    </row>
    <row r="297" spans="1:10" ht="22.5" customHeight="1">
      <c r="A297" s="11" t="str">
        <f t="shared" si="21"/>
        <v>12901</v>
      </c>
      <c r="B297" s="12" t="s">
        <v>39</v>
      </c>
      <c r="C297" s="31"/>
      <c r="D297" s="31"/>
      <c r="E297" s="12" t="str">
        <f>"方平"</f>
        <v>方平</v>
      </c>
      <c r="F297" s="32" t="s">
        <v>13</v>
      </c>
      <c r="G297" s="16"/>
      <c r="H297" s="17"/>
      <c r="I297" s="17"/>
      <c r="J297" s="17"/>
    </row>
    <row r="298" spans="1:10" ht="22.5" customHeight="1">
      <c r="A298" s="11" t="str">
        <f t="shared" si="21"/>
        <v>12901</v>
      </c>
      <c r="B298" s="12" t="s">
        <v>39</v>
      </c>
      <c r="C298" s="31"/>
      <c r="D298" s="31"/>
      <c r="E298" s="12" t="str">
        <f>"罗滔"</f>
        <v>罗滔</v>
      </c>
      <c r="F298" s="32" t="s">
        <v>13</v>
      </c>
      <c r="G298" s="16"/>
      <c r="H298" s="17"/>
      <c r="I298" s="17"/>
      <c r="J298" s="17"/>
    </row>
    <row r="299" spans="1:10" ht="22.5" customHeight="1">
      <c r="A299" s="11" t="str">
        <f t="shared" si="21"/>
        <v>12901</v>
      </c>
      <c r="B299" s="12" t="s">
        <v>39</v>
      </c>
      <c r="C299" s="31"/>
      <c r="D299" s="31"/>
      <c r="E299" s="12" t="str">
        <f>"曹佳佳"</f>
        <v>曹佳佳</v>
      </c>
      <c r="F299" s="32" t="s">
        <v>13</v>
      </c>
      <c r="G299" s="16"/>
      <c r="H299" s="17"/>
      <c r="I299" s="17"/>
      <c r="J299" s="17"/>
    </row>
    <row r="300" spans="1:10" ht="22.5" customHeight="1">
      <c r="A300" s="11" t="str">
        <f t="shared" si="21"/>
        <v>12901</v>
      </c>
      <c r="B300" s="12" t="s">
        <v>39</v>
      </c>
      <c r="C300" s="31"/>
      <c r="D300" s="31"/>
      <c r="E300" s="12" t="str">
        <f>"胡彦高"</f>
        <v>胡彦高</v>
      </c>
      <c r="F300" s="32" t="s">
        <v>13</v>
      </c>
      <c r="G300" s="16"/>
      <c r="H300" s="17"/>
      <c r="I300" s="17"/>
      <c r="J300" s="17"/>
    </row>
    <row r="301" spans="1:10" s="1" customFormat="1" ht="22.5" customHeight="1">
      <c r="A301" s="23" t="str">
        <f t="shared" si="21"/>
        <v>12901</v>
      </c>
      <c r="B301" s="14" t="s">
        <v>39</v>
      </c>
      <c r="C301" s="33"/>
      <c r="D301" s="33"/>
      <c r="E301" s="14" t="str">
        <f>"王刚"</f>
        <v>王刚</v>
      </c>
      <c r="F301" s="32" t="s">
        <v>13</v>
      </c>
      <c r="G301" s="16"/>
      <c r="H301" s="16"/>
      <c r="I301" s="16"/>
      <c r="J301" s="16"/>
    </row>
    <row r="302" spans="1:10" s="1" customFormat="1" ht="22.5" customHeight="1">
      <c r="A302" s="34"/>
      <c r="B302" s="35"/>
      <c r="C302" s="35"/>
      <c r="D302" s="35"/>
      <c r="E302" s="35"/>
      <c r="F302" s="35"/>
      <c r="G302" s="35"/>
      <c r="H302" s="35"/>
      <c r="I302" s="35"/>
      <c r="J302" s="36"/>
    </row>
    <row r="303" spans="1:10" ht="22.5" customHeight="1">
      <c r="A303" s="11" t="str">
        <f>"13001"</f>
        <v>13001</v>
      </c>
      <c r="B303" s="12" t="s">
        <v>40</v>
      </c>
      <c r="C303" s="13">
        <v>2</v>
      </c>
      <c r="D303" s="13">
        <v>2</v>
      </c>
      <c r="E303" s="14" t="str">
        <f>"覃飞"</f>
        <v>覃飞</v>
      </c>
      <c r="F303" s="15">
        <v>82.48</v>
      </c>
      <c r="G303" s="16">
        <f>F303*0.8</f>
        <v>65.98400000000001</v>
      </c>
      <c r="H303" s="17">
        <v>93.5</v>
      </c>
      <c r="I303" s="17">
        <f>H303*0.2</f>
        <v>18.7</v>
      </c>
      <c r="J303" s="16">
        <f>G303+I303</f>
        <v>84.68400000000001</v>
      </c>
    </row>
    <row r="304" spans="1:10" ht="22.5" customHeight="1">
      <c r="A304" s="11" t="str">
        <f>"13001"</f>
        <v>13001</v>
      </c>
      <c r="B304" s="12" t="s">
        <v>40</v>
      </c>
      <c r="C304" s="31"/>
      <c r="D304" s="31"/>
      <c r="E304" s="14" t="str">
        <f>"贾高凤"</f>
        <v>贾高凤</v>
      </c>
      <c r="F304" s="15">
        <v>82.7</v>
      </c>
      <c r="G304" s="16">
        <f>F304*0.8</f>
        <v>66.16000000000001</v>
      </c>
      <c r="H304" s="17">
        <v>92.5</v>
      </c>
      <c r="I304" s="17">
        <f>H304*0.2</f>
        <v>18.5</v>
      </c>
      <c r="J304" s="16">
        <f>G304+I304</f>
        <v>84.66000000000001</v>
      </c>
    </row>
    <row r="305" spans="1:10" ht="22.5" customHeight="1">
      <c r="A305" s="11" t="str">
        <f>"13001"</f>
        <v>13001</v>
      </c>
      <c r="B305" s="12" t="s">
        <v>40</v>
      </c>
      <c r="C305" s="31"/>
      <c r="D305" s="31"/>
      <c r="E305" s="14" t="str">
        <f>"戴白璐"</f>
        <v>戴白璐</v>
      </c>
      <c r="F305" s="15">
        <v>81.22</v>
      </c>
      <c r="G305" s="17">
        <f>F305*0.8</f>
        <v>64.976</v>
      </c>
      <c r="H305" s="17">
        <v>92.5</v>
      </c>
      <c r="I305" s="17">
        <f>H305*0.2</f>
        <v>18.5</v>
      </c>
      <c r="J305" s="17">
        <f>G305+I305</f>
        <v>83.476</v>
      </c>
    </row>
    <row r="306" spans="1:10" ht="22.5" customHeight="1">
      <c r="A306" s="11" t="str">
        <f>"13001"</f>
        <v>13001</v>
      </c>
      <c r="B306" s="12" t="s">
        <v>40</v>
      </c>
      <c r="C306" s="31"/>
      <c r="D306" s="31"/>
      <c r="E306" s="14" t="str">
        <f>"蔡亚飞"</f>
        <v>蔡亚飞</v>
      </c>
      <c r="F306" s="15">
        <v>80.44</v>
      </c>
      <c r="G306" s="17">
        <f>F306*0.8</f>
        <v>64.352</v>
      </c>
      <c r="H306" s="17">
        <v>93.5</v>
      </c>
      <c r="I306" s="17">
        <f>H306*0.2</f>
        <v>18.7</v>
      </c>
      <c r="J306" s="17">
        <f>G306+I306</f>
        <v>83.052</v>
      </c>
    </row>
    <row r="307" spans="1:10" ht="22.5" customHeight="1">
      <c r="A307" s="11" t="str">
        <f aca="true" t="shared" si="22" ref="A303:A310">"13001"</f>
        <v>13001</v>
      </c>
      <c r="B307" s="12" t="s">
        <v>40</v>
      </c>
      <c r="C307" s="31"/>
      <c r="D307" s="31"/>
      <c r="E307" s="12" t="str">
        <f>"姚涛"</f>
        <v>姚涛</v>
      </c>
      <c r="F307" s="32" t="s">
        <v>13</v>
      </c>
      <c r="G307" s="16"/>
      <c r="H307" s="17"/>
      <c r="I307" s="17"/>
      <c r="J307" s="17"/>
    </row>
    <row r="308" spans="1:10" ht="22.5" customHeight="1">
      <c r="A308" s="11" t="str">
        <f t="shared" si="22"/>
        <v>13001</v>
      </c>
      <c r="B308" s="12" t="s">
        <v>40</v>
      </c>
      <c r="C308" s="31"/>
      <c r="D308" s="31"/>
      <c r="E308" s="12" t="str">
        <f>"李文轩"</f>
        <v>李文轩</v>
      </c>
      <c r="F308" s="32" t="s">
        <v>13</v>
      </c>
      <c r="G308" s="16"/>
      <c r="H308" s="17"/>
      <c r="I308" s="17"/>
      <c r="J308" s="17"/>
    </row>
    <row r="309" spans="1:10" ht="22.5" customHeight="1">
      <c r="A309" s="11" t="str">
        <f t="shared" si="22"/>
        <v>13001</v>
      </c>
      <c r="B309" s="12" t="s">
        <v>40</v>
      </c>
      <c r="C309" s="31"/>
      <c r="D309" s="31"/>
      <c r="E309" s="12" t="str">
        <f>"刘成放"</f>
        <v>刘成放</v>
      </c>
      <c r="F309" s="32" t="s">
        <v>13</v>
      </c>
      <c r="G309" s="16"/>
      <c r="H309" s="17"/>
      <c r="I309" s="17"/>
      <c r="J309" s="17"/>
    </row>
    <row r="310" spans="1:10" s="1" customFormat="1" ht="22.5" customHeight="1">
      <c r="A310" s="23" t="str">
        <f t="shared" si="22"/>
        <v>13001</v>
      </c>
      <c r="B310" s="14" t="s">
        <v>40</v>
      </c>
      <c r="C310" s="33"/>
      <c r="D310" s="33"/>
      <c r="E310" s="14" t="str">
        <f>"邓雪良"</f>
        <v>邓雪良</v>
      </c>
      <c r="F310" s="32" t="s">
        <v>13</v>
      </c>
      <c r="G310" s="16"/>
      <c r="H310" s="16"/>
      <c r="I310" s="16"/>
      <c r="J310" s="16"/>
    </row>
    <row r="311" spans="1:10" s="1" customFormat="1" ht="22.5" customHeight="1">
      <c r="A311" s="34"/>
      <c r="B311" s="35"/>
      <c r="C311" s="35"/>
      <c r="D311" s="35"/>
      <c r="E311" s="35"/>
      <c r="F311" s="35"/>
      <c r="G311" s="35"/>
      <c r="H311" s="35"/>
      <c r="I311" s="35"/>
      <c r="J311" s="36"/>
    </row>
    <row r="312" spans="1:10" ht="22.5" customHeight="1">
      <c r="A312" s="11" t="str">
        <f aca="true" t="shared" si="23" ref="A312:A319">"13101"</f>
        <v>13101</v>
      </c>
      <c r="B312" s="12" t="s">
        <v>41</v>
      </c>
      <c r="C312" s="13">
        <v>1</v>
      </c>
      <c r="D312" s="13">
        <v>1</v>
      </c>
      <c r="E312" s="14" t="str">
        <f>"田懋"</f>
        <v>田懋</v>
      </c>
      <c r="F312" s="15">
        <v>83.88</v>
      </c>
      <c r="G312" s="16">
        <f>F312*0.8</f>
        <v>67.104</v>
      </c>
      <c r="H312" s="17">
        <v>92.5</v>
      </c>
      <c r="I312" s="17">
        <f>H312*0.2</f>
        <v>18.5</v>
      </c>
      <c r="J312" s="16">
        <f>G312+I312</f>
        <v>85.604</v>
      </c>
    </row>
    <row r="313" spans="1:10" ht="22.5" customHeight="1">
      <c r="A313" s="11" t="str">
        <f t="shared" si="23"/>
        <v>13101</v>
      </c>
      <c r="B313" s="12" t="s">
        <v>41</v>
      </c>
      <c r="C313" s="31"/>
      <c r="D313" s="31"/>
      <c r="E313" s="14" t="str">
        <f>"汪林锦"</f>
        <v>汪林锦</v>
      </c>
      <c r="F313" s="15">
        <v>82.3</v>
      </c>
      <c r="G313" s="17">
        <f>F313*0.8</f>
        <v>65.84</v>
      </c>
      <c r="H313" s="17">
        <v>93.5</v>
      </c>
      <c r="I313" s="17">
        <f>H313*0.2</f>
        <v>18.7</v>
      </c>
      <c r="J313" s="17">
        <f>G313+I313</f>
        <v>84.54</v>
      </c>
    </row>
    <row r="314" spans="1:10" ht="22.5" customHeight="1">
      <c r="A314" s="11" t="str">
        <f t="shared" si="23"/>
        <v>13101</v>
      </c>
      <c r="B314" s="12" t="s">
        <v>41</v>
      </c>
      <c r="C314" s="31"/>
      <c r="D314" s="31"/>
      <c r="E314" s="14" t="str">
        <f>"刘世举"</f>
        <v>刘世举</v>
      </c>
      <c r="F314" s="15">
        <v>82.1</v>
      </c>
      <c r="G314" s="17">
        <f>F314*0.8</f>
        <v>65.67999999999999</v>
      </c>
      <c r="H314" s="17">
        <v>92.5</v>
      </c>
      <c r="I314" s="17">
        <f>H314*0.2</f>
        <v>18.5</v>
      </c>
      <c r="J314" s="17">
        <f>G314+I314</f>
        <v>84.17999999999999</v>
      </c>
    </row>
    <row r="315" spans="1:10" ht="22.5" customHeight="1">
      <c r="A315" s="11" t="str">
        <f t="shared" si="23"/>
        <v>13101</v>
      </c>
      <c r="B315" s="12" t="s">
        <v>41</v>
      </c>
      <c r="C315" s="31"/>
      <c r="D315" s="31"/>
      <c r="E315" s="14" t="str">
        <f>"李永伟"</f>
        <v>李永伟</v>
      </c>
      <c r="F315" s="15">
        <v>80.84</v>
      </c>
      <c r="G315" s="17">
        <f>F315*0.8</f>
        <v>64.67200000000001</v>
      </c>
      <c r="H315" s="17">
        <v>92.5</v>
      </c>
      <c r="I315" s="17">
        <f>H315*0.2</f>
        <v>18.5</v>
      </c>
      <c r="J315" s="17">
        <f>G315+I315</f>
        <v>83.17200000000001</v>
      </c>
    </row>
    <row r="316" spans="1:10" ht="22.5" customHeight="1">
      <c r="A316" s="11" t="str">
        <f t="shared" si="23"/>
        <v>13101</v>
      </c>
      <c r="B316" s="12" t="s">
        <v>41</v>
      </c>
      <c r="C316" s="31"/>
      <c r="D316" s="31"/>
      <c r="E316" s="12" t="str">
        <f>"杜双军"</f>
        <v>杜双军</v>
      </c>
      <c r="F316" s="32" t="s">
        <v>13</v>
      </c>
      <c r="G316" s="16"/>
      <c r="H316" s="17"/>
      <c r="I316" s="17"/>
      <c r="J316" s="17"/>
    </row>
    <row r="317" spans="1:10" ht="22.5" customHeight="1">
      <c r="A317" s="11" t="str">
        <f t="shared" si="23"/>
        <v>13101</v>
      </c>
      <c r="B317" s="12" t="s">
        <v>41</v>
      </c>
      <c r="C317" s="31"/>
      <c r="D317" s="31"/>
      <c r="E317" s="12" t="str">
        <f>"刘雪微"</f>
        <v>刘雪微</v>
      </c>
      <c r="F317" s="32" t="s">
        <v>13</v>
      </c>
      <c r="G317" s="16"/>
      <c r="H317" s="17"/>
      <c r="I317" s="17"/>
      <c r="J317" s="17"/>
    </row>
    <row r="318" spans="1:10" ht="22.5" customHeight="1">
      <c r="A318" s="11" t="str">
        <f t="shared" si="23"/>
        <v>13101</v>
      </c>
      <c r="B318" s="12" t="s">
        <v>41</v>
      </c>
      <c r="C318" s="31"/>
      <c r="D318" s="31"/>
      <c r="E318" s="12" t="str">
        <f>"龚晓敏"</f>
        <v>龚晓敏</v>
      </c>
      <c r="F318" s="32" t="s">
        <v>13</v>
      </c>
      <c r="G318" s="16"/>
      <c r="H318" s="17"/>
      <c r="I318" s="17"/>
      <c r="J318" s="17"/>
    </row>
    <row r="319" spans="1:10" s="1" customFormat="1" ht="22.5" customHeight="1">
      <c r="A319" s="23" t="str">
        <f t="shared" si="23"/>
        <v>13101</v>
      </c>
      <c r="B319" s="14" t="s">
        <v>41</v>
      </c>
      <c r="C319" s="33"/>
      <c r="D319" s="33"/>
      <c r="E319" s="14" t="str">
        <f>"兰宇飞"</f>
        <v>兰宇飞</v>
      </c>
      <c r="F319" s="32" t="s">
        <v>13</v>
      </c>
      <c r="G319" s="16"/>
      <c r="H319" s="16"/>
      <c r="I319" s="16"/>
      <c r="J319" s="16"/>
    </row>
    <row r="320" spans="1:10" s="1" customFormat="1" ht="22.5" customHeight="1">
      <c r="A320" s="34"/>
      <c r="B320" s="35"/>
      <c r="C320" s="35"/>
      <c r="D320" s="35"/>
      <c r="E320" s="35"/>
      <c r="F320" s="35"/>
      <c r="G320" s="35"/>
      <c r="H320" s="35"/>
      <c r="I320" s="35"/>
      <c r="J320" s="36"/>
    </row>
    <row r="321" spans="1:10" ht="22.5" customHeight="1">
      <c r="A321" s="11" t="str">
        <f>"13201"</f>
        <v>13201</v>
      </c>
      <c r="B321" s="12" t="s">
        <v>42</v>
      </c>
      <c r="C321" s="13">
        <v>1</v>
      </c>
      <c r="D321" s="13">
        <v>1</v>
      </c>
      <c r="E321" s="14" t="str">
        <f>"彭尚"</f>
        <v>彭尚</v>
      </c>
      <c r="F321" s="15">
        <v>81.56</v>
      </c>
      <c r="G321" s="17">
        <f>F321*0.8</f>
        <v>65.248</v>
      </c>
      <c r="H321" s="17">
        <v>92</v>
      </c>
      <c r="I321" s="17">
        <f>H321*0.2</f>
        <v>18.400000000000002</v>
      </c>
      <c r="J321" s="17">
        <f>G321+I321</f>
        <v>83.64800000000001</v>
      </c>
    </row>
    <row r="322" spans="1:10" ht="22.5" customHeight="1">
      <c r="A322" s="11" t="str">
        <f>"13201"</f>
        <v>13201</v>
      </c>
      <c r="B322" s="12" t="s">
        <v>42</v>
      </c>
      <c r="C322" s="31"/>
      <c r="D322" s="31"/>
      <c r="E322" s="12" t="str">
        <f>"张娜"</f>
        <v>张娜</v>
      </c>
      <c r="F322" s="32" t="s">
        <v>13</v>
      </c>
      <c r="G322" s="16"/>
      <c r="H322" s="17"/>
      <c r="I322" s="17"/>
      <c r="J322" s="17"/>
    </row>
    <row r="323" spans="1:10" ht="22.5" customHeight="1">
      <c r="A323" s="11" t="str">
        <f>"13201"</f>
        <v>13201</v>
      </c>
      <c r="B323" s="12" t="s">
        <v>42</v>
      </c>
      <c r="C323" s="31"/>
      <c r="D323" s="31"/>
      <c r="E323" s="12" t="str">
        <f>"陈炳辉"</f>
        <v>陈炳辉</v>
      </c>
      <c r="F323" s="32" t="s">
        <v>13</v>
      </c>
      <c r="G323" s="16"/>
      <c r="H323" s="17"/>
      <c r="I323" s="17"/>
      <c r="J323" s="17"/>
    </row>
    <row r="324" spans="1:10" s="1" customFormat="1" ht="22.5" customHeight="1">
      <c r="A324" s="23" t="str">
        <f>"13201"</f>
        <v>13201</v>
      </c>
      <c r="B324" s="14" t="s">
        <v>42</v>
      </c>
      <c r="C324" s="33"/>
      <c r="D324" s="33"/>
      <c r="E324" s="14" t="str">
        <f>"魏珣"</f>
        <v>魏珣</v>
      </c>
      <c r="F324" s="32" t="s">
        <v>13</v>
      </c>
      <c r="G324" s="16"/>
      <c r="H324" s="16"/>
      <c r="I324" s="16"/>
      <c r="J324" s="16"/>
    </row>
    <row r="325" spans="1:10" s="1" customFormat="1" ht="22.5" customHeight="1">
      <c r="A325" s="34"/>
      <c r="B325" s="35"/>
      <c r="C325" s="35"/>
      <c r="D325" s="35"/>
      <c r="E325" s="35"/>
      <c r="F325" s="35"/>
      <c r="G325" s="35"/>
      <c r="H325" s="35"/>
      <c r="I325" s="35"/>
      <c r="J325" s="36"/>
    </row>
    <row r="326" spans="1:10" ht="22.5" customHeight="1">
      <c r="A326" s="11" t="str">
        <f aca="true" t="shared" si="24" ref="A326:A332">"13301"</f>
        <v>13301</v>
      </c>
      <c r="B326" s="12" t="s">
        <v>43</v>
      </c>
      <c r="C326" s="13">
        <v>1</v>
      </c>
      <c r="D326" s="13">
        <v>1</v>
      </c>
      <c r="E326" s="14" t="str">
        <f>"张利容"</f>
        <v>张利容</v>
      </c>
      <c r="F326" s="15">
        <v>81.8</v>
      </c>
      <c r="G326" s="17">
        <f>F326*0.8</f>
        <v>65.44</v>
      </c>
      <c r="H326" s="17">
        <v>92.5</v>
      </c>
      <c r="I326" s="17">
        <f>H326*0.2</f>
        <v>18.5</v>
      </c>
      <c r="J326" s="17">
        <f>G326+I326</f>
        <v>83.94</v>
      </c>
    </row>
    <row r="327" spans="1:10" ht="22.5" customHeight="1">
      <c r="A327" s="11" t="str">
        <f t="shared" si="24"/>
        <v>13301</v>
      </c>
      <c r="B327" s="12" t="s">
        <v>43</v>
      </c>
      <c r="C327" s="31"/>
      <c r="D327" s="31"/>
      <c r="E327" s="12" t="str">
        <f>"顾汭诚"</f>
        <v>顾汭诚</v>
      </c>
      <c r="F327" s="32" t="s">
        <v>13</v>
      </c>
      <c r="G327" s="16"/>
      <c r="H327" s="17"/>
      <c r="I327" s="17"/>
      <c r="J327" s="17"/>
    </row>
    <row r="328" spans="1:10" ht="22.5" customHeight="1">
      <c r="A328" s="11" t="str">
        <f t="shared" si="24"/>
        <v>13301</v>
      </c>
      <c r="B328" s="12" t="s">
        <v>43</v>
      </c>
      <c r="C328" s="31"/>
      <c r="D328" s="31"/>
      <c r="E328" s="12" t="str">
        <f>"王浩"</f>
        <v>王浩</v>
      </c>
      <c r="F328" s="32" t="s">
        <v>13</v>
      </c>
      <c r="G328" s="16"/>
      <c r="H328" s="17"/>
      <c r="I328" s="17"/>
      <c r="J328" s="17"/>
    </row>
    <row r="329" spans="1:10" ht="22.5" customHeight="1">
      <c r="A329" s="11" t="str">
        <f t="shared" si="24"/>
        <v>13301</v>
      </c>
      <c r="B329" s="12" t="s">
        <v>43</v>
      </c>
      <c r="C329" s="31"/>
      <c r="D329" s="31"/>
      <c r="E329" s="12" t="str">
        <f>"周文师"</f>
        <v>周文师</v>
      </c>
      <c r="F329" s="32" t="s">
        <v>13</v>
      </c>
      <c r="G329" s="16"/>
      <c r="H329" s="17"/>
      <c r="I329" s="17"/>
      <c r="J329" s="17"/>
    </row>
    <row r="330" spans="1:10" ht="22.5" customHeight="1">
      <c r="A330" s="11" t="str">
        <f t="shared" si="24"/>
        <v>13301</v>
      </c>
      <c r="B330" s="12" t="s">
        <v>43</v>
      </c>
      <c r="C330" s="31"/>
      <c r="D330" s="31"/>
      <c r="E330" s="12" t="str">
        <f>"王慧"</f>
        <v>王慧</v>
      </c>
      <c r="F330" s="32" t="s">
        <v>13</v>
      </c>
      <c r="G330" s="16"/>
      <c r="H330" s="17"/>
      <c r="I330" s="17"/>
      <c r="J330" s="17"/>
    </row>
    <row r="331" spans="1:10" ht="22.5" customHeight="1">
      <c r="A331" s="11" t="str">
        <f t="shared" si="24"/>
        <v>13301</v>
      </c>
      <c r="B331" s="12" t="s">
        <v>43</v>
      </c>
      <c r="C331" s="31"/>
      <c r="D331" s="31"/>
      <c r="E331" s="12" t="str">
        <f>"李柯"</f>
        <v>李柯</v>
      </c>
      <c r="F331" s="32" t="s">
        <v>13</v>
      </c>
      <c r="G331" s="16"/>
      <c r="H331" s="17"/>
      <c r="I331" s="17"/>
      <c r="J331" s="17"/>
    </row>
    <row r="332" spans="1:10" s="1" customFormat="1" ht="22.5" customHeight="1">
      <c r="A332" s="23" t="str">
        <f t="shared" si="24"/>
        <v>13301</v>
      </c>
      <c r="B332" s="14" t="s">
        <v>43</v>
      </c>
      <c r="C332" s="33"/>
      <c r="D332" s="33"/>
      <c r="E332" s="14" t="str">
        <f>"宋凤娇"</f>
        <v>宋凤娇</v>
      </c>
      <c r="F332" s="32" t="s">
        <v>13</v>
      </c>
      <c r="G332" s="16"/>
      <c r="H332" s="16"/>
      <c r="I332" s="16"/>
      <c r="J332" s="16"/>
    </row>
    <row r="333" spans="1:10" s="1" customFormat="1" ht="22.5" customHeight="1">
      <c r="A333" s="34"/>
      <c r="B333" s="35"/>
      <c r="C333" s="35"/>
      <c r="D333" s="35"/>
      <c r="E333" s="35"/>
      <c r="F333" s="35"/>
      <c r="G333" s="35"/>
      <c r="H333" s="35"/>
      <c r="I333" s="35"/>
      <c r="J333" s="36"/>
    </row>
    <row r="334" spans="1:10" ht="22.5" customHeight="1">
      <c r="A334" s="11" t="str">
        <f>"13401"</f>
        <v>13401</v>
      </c>
      <c r="B334" s="12" t="s">
        <v>44</v>
      </c>
      <c r="C334" s="13">
        <v>1</v>
      </c>
      <c r="D334" s="13">
        <v>1</v>
      </c>
      <c r="E334" s="14" t="str">
        <f>"周召"</f>
        <v>周召</v>
      </c>
      <c r="F334" s="15">
        <v>83.64</v>
      </c>
      <c r="G334" s="16">
        <f>F334*0.8</f>
        <v>66.912</v>
      </c>
      <c r="H334" s="17">
        <v>92.5</v>
      </c>
      <c r="I334" s="17">
        <f>H334*0.2</f>
        <v>18.5</v>
      </c>
      <c r="J334" s="16">
        <f>G334+I334</f>
        <v>85.412</v>
      </c>
    </row>
    <row r="335" spans="1:10" s="1" customFormat="1" ht="22.5" customHeight="1">
      <c r="A335" s="18" t="str">
        <f>"13401"</f>
        <v>13401</v>
      </c>
      <c r="B335" s="19" t="s">
        <v>44</v>
      </c>
      <c r="C335" s="31"/>
      <c r="D335" s="31"/>
      <c r="E335" s="19" t="str">
        <f>"肖楠"</f>
        <v>肖楠</v>
      </c>
      <c r="F335" s="21">
        <v>82.36</v>
      </c>
      <c r="G335" s="22">
        <f>F335*0.8</f>
        <v>65.888</v>
      </c>
      <c r="H335" s="22">
        <v>92.5</v>
      </c>
      <c r="I335" s="22">
        <f>H335*0.2</f>
        <v>18.5</v>
      </c>
      <c r="J335" s="22">
        <f>G335+I335</f>
        <v>84.388</v>
      </c>
    </row>
    <row r="336" spans="1:10" s="1" customFormat="1" ht="22.5" customHeight="1">
      <c r="A336" s="37"/>
      <c r="B336" s="38"/>
      <c r="C336" s="38"/>
      <c r="D336" s="38"/>
      <c r="E336" s="38"/>
      <c r="F336" s="38"/>
      <c r="G336" s="38"/>
      <c r="H336" s="38"/>
      <c r="I336" s="38"/>
      <c r="J336" s="40"/>
    </row>
    <row r="337" spans="1:10" ht="22.5" customHeight="1">
      <c r="A337" s="24" t="str">
        <f aca="true" t="shared" si="25" ref="A337:A342">"13501"</f>
        <v>13501</v>
      </c>
      <c r="B337" s="25" t="s">
        <v>45</v>
      </c>
      <c r="C337" s="31">
        <v>1</v>
      </c>
      <c r="D337" s="31">
        <v>1</v>
      </c>
      <c r="E337" s="27" t="str">
        <f>"唐璐瑶"</f>
        <v>唐璐瑶</v>
      </c>
      <c r="F337" s="28">
        <v>83.06</v>
      </c>
      <c r="G337" s="29">
        <f>F337*0.8</f>
        <v>66.44800000000001</v>
      </c>
      <c r="H337" s="30">
        <v>93.5</v>
      </c>
      <c r="I337" s="30">
        <f>H337*0.2</f>
        <v>18.7</v>
      </c>
      <c r="J337" s="29">
        <f>G337+I337</f>
        <v>85.14800000000001</v>
      </c>
    </row>
    <row r="338" spans="1:10" ht="22.5" customHeight="1">
      <c r="A338" s="11" t="str">
        <f t="shared" si="25"/>
        <v>13501</v>
      </c>
      <c r="B338" s="12" t="s">
        <v>45</v>
      </c>
      <c r="C338" s="31"/>
      <c r="D338" s="31"/>
      <c r="E338" s="14" t="str">
        <f>"姜燕玲"</f>
        <v>姜燕玲</v>
      </c>
      <c r="F338" s="15">
        <v>82.5</v>
      </c>
      <c r="G338" s="17">
        <f>F338*0.8</f>
        <v>66</v>
      </c>
      <c r="H338" s="17">
        <v>93.5</v>
      </c>
      <c r="I338" s="17">
        <f>H338*0.2</f>
        <v>18.7</v>
      </c>
      <c r="J338" s="17">
        <f>G338+I338</f>
        <v>84.7</v>
      </c>
    </row>
    <row r="339" spans="1:10" ht="22.5" customHeight="1">
      <c r="A339" s="11" t="str">
        <f t="shared" si="25"/>
        <v>13501</v>
      </c>
      <c r="B339" s="12" t="s">
        <v>45</v>
      </c>
      <c r="C339" s="31"/>
      <c r="D339" s="31"/>
      <c r="E339" s="14" t="str">
        <f>"张磊"</f>
        <v>张磊</v>
      </c>
      <c r="F339" s="15">
        <v>82.56</v>
      </c>
      <c r="G339" s="17">
        <f>F339*0.8</f>
        <v>66.048</v>
      </c>
      <c r="H339" s="17">
        <v>92.5</v>
      </c>
      <c r="I339" s="17">
        <f>H339*0.2</f>
        <v>18.5</v>
      </c>
      <c r="J339" s="17">
        <f>G339+I339</f>
        <v>84.548</v>
      </c>
    </row>
    <row r="340" spans="1:10" ht="22.5" customHeight="1">
      <c r="A340" s="11" t="str">
        <f t="shared" si="25"/>
        <v>13501</v>
      </c>
      <c r="B340" s="12" t="s">
        <v>45</v>
      </c>
      <c r="C340" s="31"/>
      <c r="D340" s="31"/>
      <c r="E340" s="14" t="str">
        <f>"崔慧慧"</f>
        <v>崔慧慧</v>
      </c>
      <c r="F340" s="15">
        <v>81.84</v>
      </c>
      <c r="G340" s="17">
        <f>F340*0.8</f>
        <v>65.47200000000001</v>
      </c>
      <c r="H340" s="17">
        <v>93</v>
      </c>
      <c r="I340" s="17">
        <f>H340*0.2</f>
        <v>18.6</v>
      </c>
      <c r="J340" s="17">
        <f>G340+I340</f>
        <v>84.072</v>
      </c>
    </row>
    <row r="341" spans="1:10" ht="22.5" customHeight="1">
      <c r="A341" s="11" t="str">
        <f t="shared" si="25"/>
        <v>13501</v>
      </c>
      <c r="B341" s="12" t="s">
        <v>45</v>
      </c>
      <c r="C341" s="31"/>
      <c r="D341" s="31"/>
      <c r="E341" s="12" t="str">
        <f>"刘慧锋"</f>
        <v>刘慧锋</v>
      </c>
      <c r="F341" s="32" t="s">
        <v>13</v>
      </c>
      <c r="G341" s="16"/>
      <c r="H341" s="17"/>
      <c r="I341" s="17"/>
      <c r="J341" s="17"/>
    </row>
    <row r="342" spans="1:10" s="1" customFormat="1" ht="22.5" customHeight="1">
      <c r="A342" s="23" t="str">
        <f t="shared" si="25"/>
        <v>13501</v>
      </c>
      <c r="B342" s="14" t="s">
        <v>45</v>
      </c>
      <c r="C342" s="33"/>
      <c r="D342" s="33"/>
      <c r="E342" s="14" t="str">
        <f>"李晓泽"</f>
        <v>李晓泽</v>
      </c>
      <c r="F342" s="32" t="s">
        <v>13</v>
      </c>
      <c r="G342" s="16"/>
      <c r="H342" s="16"/>
      <c r="I342" s="16"/>
      <c r="J342" s="16"/>
    </row>
    <row r="343" spans="1:10" s="1" customFormat="1" ht="22.5" customHeight="1">
      <c r="A343" s="34"/>
      <c r="B343" s="35"/>
      <c r="C343" s="35"/>
      <c r="D343" s="35"/>
      <c r="E343" s="35"/>
      <c r="F343" s="35"/>
      <c r="G343" s="35"/>
      <c r="H343" s="35"/>
      <c r="I343" s="35"/>
      <c r="J343" s="36"/>
    </row>
    <row r="344" spans="1:10" ht="22.5" customHeight="1">
      <c r="A344" s="11" t="str">
        <f aca="true" t="shared" si="26" ref="A344:A354">"13601"</f>
        <v>13601</v>
      </c>
      <c r="B344" s="12" t="s">
        <v>46</v>
      </c>
      <c r="C344" s="13">
        <v>1</v>
      </c>
      <c r="D344" s="13">
        <v>1</v>
      </c>
      <c r="E344" s="14" t="str">
        <f>"王广"</f>
        <v>王广</v>
      </c>
      <c r="F344" s="15">
        <v>84</v>
      </c>
      <c r="G344" s="16">
        <f>F344*0.8</f>
        <v>67.2</v>
      </c>
      <c r="H344" s="17">
        <v>92.5</v>
      </c>
      <c r="I344" s="17">
        <f>H344*0.2</f>
        <v>18.5</v>
      </c>
      <c r="J344" s="16">
        <f>G344+I344</f>
        <v>85.7</v>
      </c>
    </row>
    <row r="345" spans="1:10" ht="22.5" customHeight="1">
      <c r="A345" s="11" t="str">
        <f t="shared" si="26"/>
        <v>13601</v>
      </c>
      <c r="B345" s="12" t="s">
        <v>46</v>
      </c>
      <c r="C345" s="31"/>
      <c r="D345" s="31"/>
      <c r="E345" s="14" t="str">
        <f>"刘凡"</f>
        <v>刘凡</v>
      </c>
      <c r="F345" s="15">
        <v>83</v>
      </c>
      <c r="G345" s="17">
        <f>F345*0.8</f>
        <v>66.4</v>
      </c>
      <c r="H345" s="17">
        <v>94.5</v>
      </c>
      <c r="I345" s="17">
        <f>H345*0.2</f>
        <v>18.900000000000002</v>
      </c>
      <c r="J345" s="17">
        <f>G345+I345</f>
        <v>85.30000000000001</v>
      </c>
    </row>
    <row r="346" spans="1:10" ht="22.5" customHeight="1">
      <c r="A346" s="11" t="str">
        <f t="shared" si="26"/>
        <v>13601</v>
      </c>
      <c r="B346" s="12" t="s">
        <v>46</v>
      </c>
      <c r="C346" s="31"/>
      <c r="D346" s="31"/>
      <c r="E346" s="14" t="str">
        <f>"江山"</f>
        <v>江山</v>
      </c>
      <c r="F346" s="15">
        <v>82.5</v>
      </c>
      <c r="G346" s="17">
        <f>F346*0.8</f>
        <v>66</v>
      </c>
      <c r="H346" s="17">
        <v>96</v>
      </c>
      <c r="I346" s="17">
        <f>H346*0.2</f>
        <v>19.200000000000003</v>
      </c>
      <c r="J346" s="17">
        <f>G346+I346</f>
        <v>85.2</v>
      </c>
    </row>
    <row r="347" spans="1:10" ht="22.5" customHeight="1">
      <c r="A347" s="11" t="str">
        <f t="shared" si="26"/>
        <v>13601</v>
      </c>
      <c r="B347" s="12" t="s">
        <v>46</v>
      </c>
      <c r="C347" s="31"/>
      <c r="D347" s="31"/>
      <c r="E347" s="14" t="str">
        <f>"杨波"</f>
        <v>杨波</v>
      </c>
      <c r="F347" s="15">
        <v>82.24</v>
      </c>
      <c r="G347" s="17">
        <f>F347*0.8</f>
        <v>65.792</v>
      </c>
      <c r="H347" s="17">
        <v>93.5</v>
      </c>
      <c r="I347" s="17">
        <f>H347*0.2</f>
        <v>18.7</v>
      </c>
      <c r="J347" s="17">
        <f>G347+I347</f>
        <v>84.492</v>
      </c>
    </row>
    <row r="348" spans="1:10" ht="22.5" customHeight="1">
      <c r="A348" s="11" t="str">
        <f t="shared" si="26"/>
        <v>13601</v>
      </c>
      <c r="B348" s="12" t="s">
        <v>46</v>
      </c>
      <c r="C348" s="31"/>
      <c r="D348" s="31"/>
      <c r="E348" s="12" t="str">
        <f>"张祺"</f>
        <v>张祺</v>
      </c>
      <c r="F348" s="32" t="s">
        <v>13</v>
      </c>
      <c r="G348" s="16"/>
      <c r="H348" s="17"/>
      <c r="I348" s="17"/>
      <c r="J348" s="17"/>
    </row>
    <row r="349" spans="1:10" ht="22.5" customHeight="1">
      <c r="A349" s="11" t="str">
        <f t="shared" si="26"/>
        <v>13601</v>
      </c>
      <c r="B349" s="12" t="s">
        <v>46</v>
      </c>
      <c r="C349" s="31"/>
      <c r="D349" s="31"/>
      <c r="E349" s="12" t="str">
        <f>"李愈"</f>
        <v>李愈</v>
      </c>
      <c r="F349" s="32" t="s">
        <v>13</v>
      </c>
      <c r="G349" s="16"/>
      <c r="H349" s="17"/>
      <c r="I349" s="17"/>
      <c r="J349" s="17"/>
    </row>
    <row r="350" spans="1:10" ht="22.5" customHeight="1">
      <c r="A350" s="11" t="str">
        <f t="shared" si="26"/>
        <v>13601</v>
      </c>
      <c r="B350" s="12" t="s">
        <v>46</v>
      </c>
      <c r="C350" s="31"/>
      <c r="D350" s="31"/>
      <c r="E350" s="12" t="str">
        <f>"陈洋"</f>
        <v>陈洋</v>
      </c>
      <c r="F350" s="32" t="s">
        <v>13</v>
      </c>
      <c r="G350" s="16"/>
      <c r="H350" s="17"/>
      <c r="I350" s="17"/>
      <c r="J350" s="17"/>
    </row>
    <row r="351" spans="1:10" ht="22.5" customHeight="1">
      <c r="A351" s="11" t="str">
        <f t="shared" si="26"/>
        <v>13601</v>
      </c>
      <c r="B351" s="12" t="s">
        <v>46</v>
      </c>
      <c r="C351" s="31"/>
      <c r="D351" s="31"/>
      <c r="E351" s="12" t="str">
        <f>"乔权"</f>
        <v>乔权</v>
      </c>
      <c r="F351" s="32" t="s">
        <v>13</v>
      </c>
      <c r="G351" s="16"/>
      <c r="H351" s="17"/>
      <c r="I351" s="17"/>
      <c r="J351" s="17"/>
    </row>
    <row r="352" spans="1:10" ht="22.5" customHeight="1">
      <c r="A352" s="11" t="str">
        <f t="shared" si="26"/>
        <v>13601</v>
      </c>
      <c r="B352" s="12" t="s">
        <v>46</v>
      </c>
      <c r="C352" s="31"/>
      <c r="D352" s="31"/>
      <c r="E352" s="12" t="str">
        <f>"肖永丽"</f>
        <v>肖永丽</v>
      </c>
      <c r="F352" s="32" t="s">
        <v>13</v>
      </c>
      <c r="G352" s="16"/>
      <c r="H352" s="17"/>
      <c r="I352" s="17"/>
      <c r="J352" s="17"/>
    </row>
    <row r="353" spans="1:10" ht="22.5" customHeight="1">
      <c r="A353" s="11" t="str">
        <f t="shared" si="26"/>
        <v>13601</v>
      </c>
      <c r="B353" s="12" t="s">
        <v>46</v>
      </c>
      <c r="C353" s="31"/>
      <c r="D353" s="31"/>
      <c r="E353" s="12" t="str">
        <f>"马玲"</f>
        <v>马玲</v>
      </c>
      <c r="F353" s="32" t="s">
        <v>13</v>
      </c>
      <c r="G353" s="16"/>
      <c r="H353" s="17"/>
      <c r="I353" s="17"/>
      <c r="J353" s="17"/>
    </row>
    <row r="354" spans="1:10" s="1" customFormat="1" ht="22.5" customHeight="1">
      <c r="A354" s="23" t="str">
        <f t="shared" si="26"/>
        <v>13601</v>
      </c>
      <c r="B354" s="14" t="s">
        <v>46</v>
      </c>
      <c r="C354" s="33"/>
      <c r="D354" s="33"/>
      <c r="E354" s="14" t="str">
        <f>"田恬"</f>
        <v>田恬</v>
      </c>
      <c r="F354" s="32" t="s">
        <v>13</v>
      </c>
      <c r="G354" s="16"/>
      <c r="H354" s="16"/>
      <c r="I354" s="16"/>
      <c r="J354" s="16"/>
    </row>
    <row r="355" spans="1:10" s="1" customFormat="1" ht="22.5" customHeight="1">
      <c r="A355" s="34"/>
      <c r="B355" s="35"/>
      <c r="C355" s="35"/>
      <c r="D355" s="35"/>
      <c r="E355" s="35"/>
      <c r="F355" s="35"/>
      <c r="G355" s="35"/>
      <c r="H355" s="35"/>
      <c r="I355" s="35"/>
      <c r="J355" s="36"/>
    </row>
    <row r="356" spans="1:10" ht="22.5" customHeight="1">
      <c r="A356" s="11" t="str">
        <f>"13701"</f>
        <v>13701</v>
      </c>
      <c r="B356" s="12" t="s">
        <v>47</v>
      </c>
      <c r="C356" s="13">
        <v>1</v>
      </c>
      <c r="D356" s="13">
        <v>1</v>
      </c>
      <c r="E356" s="14" t="str">
        <f>"王胜蓝"</f>
        <v>王胜蓝</v>
      </c>
      <c r="F356" s="15">
        <v>82.66</v>
      </c>
      <c r="G356" s="16">
        <f>F356*0.8</f>
        <v>66.128</v>
      </c>
      <c r="H356" s="17">
        <v>94</v>
      </c>
      <c r="I356" s="17">
        <f>H356*0.2</f>
        <v>18.8</v>
      </c>
      <c r="J356" s="16">
        <f>G356+I356</f>
        <v>84.928</v>
      </c>
    </row>
    <row r="357" spans="1:10" ht="22.5" customHeight="1">
      <c r="A357" s="11" t="str">
        <f>"13701"</f>
        <v>13701</v>
      </c>
      <c r="B357" s="12" t="s">
        <v>47</v>
      </c>
      <c r="C357" s="31"/>
      <c r="D357" s="31"/>
      <c r="E357" s="14" t="str">
        <f>"吴明波"</f>
        <v>吴明波</v>
      </c>
      <c r="F357" s="15">
        <v>82.14</v>
      </c>
      <c r="G357" s="17">
        <f>F357*0.8</f>
        <v>65.712</v>
      </c>
      <c r="H357" s="17">
        <v>93.5</v>
      </c>
      <c r="I357" s="17">
        <f>H357*0.2</f>
        <v>18.7</v>
      </c>
      <c r="J357" s="17">
        <f>G357+I357</f>
        <v>84.412</v>
      </c>
    </row>
    <row r="358" spans="1:10" ht="22.5" customHeight="1">
      <c r="A358" s="11" t="str">
        <f aca="true" t="shared" si="27" ref="A356:A362">"13701"</f>
        <v>13701</v>
      </c>
      <c r="B358" s="12" t="s">
        <v>47</v>
      </c>
      <c r="C358" s="31"/>
      <c r="D358" s="31"/>
      <c r="E358" s="14" t="str">
        <f>"田丁"</f>
        <v>田丁</v>
      </c>
      <c r="F358" s="15">
        <v>82.08</v>
      </c>
      <c r="G358" s="17">
        <f>F358*0.8</f>
        <v>65.664</v>
      </c>
      <c r="H358" s="17">
        <v>92.5</v>
      </c>
      <c r="I358" s="17">
        <f>H358*0.2</f>
        <v>18.5</v>
      </c>
      <c r="J358" s="17">
        <f>G358+I358</f>
        <v>84.164</v>
      </c>
    </row>
    <row r="359" spans="1:10" ht="22.5" customHeight="1">
      <c r="A359" s="11" t="str">
        <f t="shared" si="27"/>
        <v>13701</v>
      </c>
      <c r="B359" s="12" t="s">
        <v>47</v>
      </c>
      <c r="C359" s="31"/>
      <c r="D359" s="31"/>
      <c r="E359" s="14" t="str">
        <f>"周岐兵"</f>
        <v>周岐兵</v>
      </c>
      <c r="F359" s="15">
        <v>81.36</v>
      </c>
      <c r="G359" s="17">
        <f>F359*0.8</f>
        <v>65.08800000000001</v>
      </c>
      <c r="H359" s="17">
        <v>92.5</v>
      </c>
      <c r="I359" s="17">
        <f>H359*0.2</f>
        <v>18.5</v>
      </c>
      <c r="J359" s="17">
        <f>G359+I359</f>
        <v>83.58800000000001</v>
      </c>
    </row>
    <row r="360" spans="1:10" ht="22.5" customHeight="1">
      <c r="A360" s="11" t="str">
        <f t="shared" si="27"/>
        <v>13701</v>
      </c>
      <c r="B360" s="12" t="s">
        <v>47</v>
      </c>
      <c r="C360" s="31"/>
      <c r="D360" s="31"/>
      <c r="E360" s="12" t="str">
        <f>"夏涛涛"</f>
        <v>夏涛涛</v>
      </c>
      <c r="F360" s="32" t="s">
        <v>13</v>
      </c>
      <c r="G360" s="16"/>
      <c r="H360" s="17"/>
      <c r="I360" s="17"/>
      <c r="J360" s="17"/>
    </row>
    <row r="361" spans="1:10" ht="22.5" customHeight="1">
      <c r="A361" s="11" t="str">
        <f t="shared" si="27"/>
        <v>13701</v>
      </c>
      <c r="B361" s="12" t="s">
        <v>47</v>
      </c>
      <c r="C361" s="31"/>
      <c r="D361" s="31"/>
      <c r="E361" s="12" t="str">
        <f>"王尧"</f>
        <v>王尧</v>
      </c>
      <c r="F361" s="32" t="s">
        <v>13</v>
      </c>
      <c r="G361" s="16"/>
      <c r="H361" s="17"/>
      <c r="I361" s="17"/>
      <c r="J361" s="17"/>
    </row>
    <row r="362" spans="1:10" s="1" customFormat="1" ht="22.5" customHeight="1">
      <c r="A362" s="23" t="str">
        <f t="shared" si="27"/>
        <v>13701</v>
      </c>
      <c r="B362" s="14" t="s">
        <v>47</v>
      </c>
      <c r="C362" s="33"/>
      <c r="D362" s="33"/>
      <c r="E362" s="14" t="str">
        <f>"敖梦雪"</f>
        <v>敖梦雪</v>
      </c>
      <c r="F362" s="32" t="s">
        <v>13</v>
      </c>
      <c r="G362" s="16"/>
      <c r="H362" s="16"/>
      <c r="I362" s="16"/>
      <c r="J362" s="16"/>
    </row>
    <row r="363" spans="1:10" s="1" customFormat="1" ht="22.5" customHeight="1">
      <c r="A363" s="34"/>
      <c r="B363" s="35"/>
      <c r="C363" s="35"/>
      <c r="D363" s="35"/>
      <c r="E363" s="35"/>
      <c r="F363" s="35"/>
      <c r="G363" s="35"/>
      <c r="H363" s="35"/>
      <c r="I363" s="35"/>
      <c r="J363" s="36"/>
    </row>
    <row r="364" spans="1:10" ht="22.5" customHeight="1">
      <c r="A364" s="11" t="str">
        <f aca="true" t="shared" si="28" ref="A364:A370">"13801"</f>
        <v>13801</v>
      </c>
      <c r="B364" s="12" t="s">
        <v>48</v>
      </c>
      <c r="C364" s="13">
        <v>1</v>
      </c>
      <c r="D364" s="13">
        <v>1</v>
      </c>
      <c r="E364" s="39" t="str">
        <f>"王磊"</f>
        <v>王磊</v>
      </c>
      <c r="F364" s="15">
        <v>84.18</v>
      </c>
      <c r="G364" s="16">
        <f>F364*0.8</f>
        <v>67.34400000000001</v>
      </c>
      <c r="H364" s="17">
        <v>95.5</v>
      </c>
      <c r="I364" s="17">
        <f>H364*0.2</f>
        <v>19.1</v>
      </c>
      <c r="J364" s="16">
        <f>G364+I364</f>
        <v>86.44400000000002</v>
      </c>
    </row>
    <row r="365" spans="1:10" ht="22.5" customHeight="1">
      <c r="A365" s="11" t="str">
        <f t="shared" si="28"/>
        <v>13801</v>
      </c>
      <c r="B365" s="12" t="s">
        <v>48</v>
      </c>
      <c r="C365" s="31"/>
      <c r="D365" s="31"/>
      <c r="E365" s="14" t="str">
        <f>"吴海兵"</f>
        <v>吴海兵</v>
      </c>
      <c r="F365" s="15">
        <v>83.68</v>
      </c>
      <c r="G365" s="16">
        <f>F365*0.8</f>
        <v>66.944</v>
      </c>
      <c r="H365" s="17">
        <v>95.5</v>
      </c>
      <c r="I365" s="17">
        <f>H365*0.2</f>
        <v>19.1</v>
      </c>
      <c r="J365" s="16">
        <f>G365+I365</f>
        <v>86.04400000000001</v>
      </c>
    </row>
    <row r="366" spans="1:10" ht="22.5" customHeight="1">
      <c r="A366" s="11" t="str">
        <f t="shared" si="28"/>
        <v>13801</v>
      </c>
      <c r="B366" s="12" t="s">
        <v>48</v>
      </c>
      <c r="C366" s="31"/>
      <c r="D366" s="31"/>
      <c r="E366" s="14" t="str">
        <f>"崔建涛"</f>
        <v>崔建涛</v>
      </c>
      <c r="F366" s="15">
        <v>83.26</v>
      </c>
      <c r="G366" s="17">
        <f>F366*0.8</f>
        <v>66.608</v>
      </c>
      <c r="H366" s="17">
        <v>92.5</v>
      </c>
      <c r="I366" s="17">
        <f>H366*0.2</f>
        <v>18.5</v>
      </c>
      <c r="J366" s="17">
        <f>G366+I366</f>
        <v>85.108</v>
      </c>
    </row>
    <row r="367" spans="1:10" ht="22.5" customHeight="1">
      <c r="A367" s="11" t="str">
        <f t="shared" si="28"/>
        <v>13801</v>
      </c>
      <c r="B367" s="12" t="s">
        <v>48</v>
      </c>
      <c r="C367" s="31"/>
      <c r="D367" s="31"/>
      <c r="E367" s="14" t="str">
        <f>"朱胜澜"</f>
        <v>朱胜澜</v>
      </c>
      <c r="F367" s="15">
        <v>82.6</v>
      </c>
      <c r="G367" s="17">
        <f>F367*0.8</f>
        <v>66.08</v>
      </c>
      <c r="H367" s="17">
        <v>92.5</v>
      </c>
      <c r="I367" s="17">
        <f>H367*0.2</f>
        <v>18.5</v>
      </c>
      <c r="J367" s="17">
        <f>G367+I367</f>
        <v>84.58</v>
      </c>
    </row>
    <row r="368" spans="1:10" ht="22.5" customHeight="1">
      <c r="A368" s="11" t="str">
        <f t="shared" si="28"/>
        <v>13801</v>
      </c>
      <c r="B368" s="12" t="s">
        <v>48</v>
      </c>
      <c r="C368" s="31"/>
      <c r="D368" s="31"/>
      <c r="E368" s="12" t="str">
        <f>"蒋光阳"</f>
        <v>蒋光阳</v>
      </c>
      <c r="F368" s="32" t="s">
        <v>13</v>
      </c>
      <c r="G368" s="16"/>
      <c r="H368" s="17"/>
      <c r="I368" s="17"/>
      <c r="J368" s="17"/>
    </row>
    <row r="369" spans="1:10" ht="22.5" customHeight="1">
      <c r="A369" s="11" t="str">
        <f t="shared" si="28"/>
        <v>13801</v>
      </c>
      <c r="B369" s="12" t="s">
        <v>48</v>
      </c>
      <c r="C369" s="31"/>
      <c r="D369" s="31"/>
      <c r="E369" s="12" t="str">
        <f>"赵梦洁"</f>
        <v>赵梦洁</v>
      </c>
      <c r="F369" s="32" t="s">
        <v>13</v>
      </c>
      <c r="G369" s="16"/>
      <c r="H369" s="17"/>
      <c r="I369" s="17"/>
      <c r="J369" s="17"/>
    </row>
    <row r="370" spans="1:10" s="1" customFormat="1" ht="22.5" customHeight="1">
      <c r="A370" s="23" t="str">
        <f t="shared" si="28"/>
        <v>13801</v>
      </c>
      <c r="B370" s="14" t="s">
        <v>48</v>
      </c>
      <c r="C370" s="33"/>
      <c r="D370" s="33"/>
      <c r="E370" s="14" t="str">
        <f>"王珂"</f>
        <v>王珂</v>
      </c>
      <c r="F370" s="32" t="s">
        <v>13</v>
      </c>
      <c r="G370" s="16"/>
      <c r="H370" s="16"/>
      <c r="I370" s="16"/>
      <c r="J370" s="16"/>
    </row>
    <row r="371" spans="1:10" s="1" customFormat="1" ht="22.5" customHeight="1">
      <c r="A371" s="34"/>
      <c r="B371" s="35"/>
      <c r="C371" s="35"/>
      <c r="D371" s="35"/>
      <c r="E371" s="35"/>
      <c r="F371" s="35"/>
      <c r="G371" s="35"/>
      <c r="H371" s="35"/>
      <c r="I371" s="35"/>
      <c r="J371" s="36"/>
    </row>
    <row r="372" spans="1:10" ht="22.5" customHeight="1">
      <c r="A372" s="11" t="str">
        <f aca="true" t="shared" si="29" ref="A372:A377">"13901"</f>
        <v>13901</v>
      </c>
      <c r="B372" s="12" t="s">
        <v>49</v>
      </c>
      <c r="C372" s="13">
        <v>1</v>
      </c>
      <c r="D372" s="13">
        <v>1</v>
      </c>
      <c r="E372" s="14" t="str">
        <f>"杨鹏"</f>
        <v>杨鹏</v>
      </c>
      <c r="F372" s="15">
        <v>83.8</v>
      </c>
      <c r="G372" s="16">
        <f>F372*0.8</f>
        <v>67.04</v>
      </c>
      <c r="H372" s="17">
        <v>92.5</v>
      </c>
      <c r="I372" s="17">
        <f>H372*0.2</f>
        <v>18.5</v>
      </c>
      <c r="J372" s="16">
        <f>G372+I372</f>
        <v>85.54</v>
      </c>
    </row>
    <row r="373" spans="1:10" ht="22.5" customHeight="1">
      <c r="A373" s="11" t="str">
        <f t="shared" si="29"/>
        <v>13901</v>
      </c>
      <c r="B373" s="12" t="s">
        <v>49</v>
      </c>
      <c r="C373" s="31"/>
      <c r="D373" s="31"/>
      <c r="E373" s="14" t="str">
        <f>"肖君臣"</f>
        <v>肖君臣</v>
      </c>
      <c r="F373" s="15">
        <v>83.48</v>
      </c>
      <c r="G373" s="17">
        <f>F373*0.8</f>
        <v>66.784</v>
      </c>
      <c r="H373" s="17">
        <v>92.5</v>
      </c>
      <c r="I373" s="17">
        <f>H373*0.2</f>
        <v>18.5</v>
      </c>
      <c r="J373" s="17">
        <f>G373+I373</f>
        <v>85.284</v>
      </c>
    </row>
    <row r="374" spans="1:10" ht="22.5" customHeight="1">
      <c r="A374" s="11" t="str">
        <f t="shared" si="29"/>
        <v>13901</v>
      </c>
      <c r="B374" s="12" t="s">
        <v>49</v>
      </c>
      <c r="C374" s="31"/>
      <c r="D374" s="31"/>
      <c r="E374" s="14" t="str">
        <f>"张继生"</f>
        <v>张继生</v>
      </c>
      <c r="F374" s="15">
        <v>81.36</v>
      </c>
      <c r="G374" s="17">
        <f>F374*0.8</f>
        <v>65.08800000000001</v>
      </c>
      <c r="H374" s="17">
        <v>93.5</v>
      </c>
      <c r="I374" s="17">
        <f>H374*0.2</f>
        <v>18.7</v>
      </c>
      <c r="J374" s="17">
        <f>G374+I374</f>
        <v>83.78800000000001</v>
      </c>
    </row>
    <row r="375" spans="1:10" ht="22.5" customHeight="1">
      <c r="A375" s="11" t="str">
        <f t="shared" si="29"/>
        <v>13901</v>
      </c>
      <c r="B375" s="12" t="s">
        <v>49</v>
      </c>
      <c r="C375" s="31"/>
      <c r="D375" s="31"/>
      <c r="E375" s="12" t="str">
        <f>"梁鑫"</f>
        <v>梁鑫</v>
      </c>
      <c r="F375" s="32" t="s">
        <v>13</v>
      </c>
      <c r="G375" s="16"/>
      <c r="H375" s="17"/>
      <c r="I375" s="17"/>
      <c r="J375" s="17"/>
    </row>
    <row r="376" spans="1:10" ht="22.5" customHeight="1">
      <c r="A376" s="11" t="str">
        <f t="shared" si="29"/>
        <v>13901</v>
      </c>
      <c r="B376" s="12" t="s">
        <v>49</v>
      </c>
      <c r="C376" s="31"/>
      <c r="D376" s="31"/>
      <c r="E376" s="12" t="str">
        <f>"赵盼盼"</f>
        <v>赵盼盼</v>
      </c>
      <c r="F376" s="32" t="s">
        <v>13</v>
      </c>
      <c r="G376" s="16"/>
      <c r="H376" s="17"/>
      <c r="I376" s="17"/>
      <c r="J376" s="17"/>
    </row>
    <row r="377" spans="1:10" s="1" customFormat="1" ht="22.5" customHeight="1">
      <c r="A377" s="23" t="str">
        <f t="shared" si="29"/>
        <v>13901</v>
      </c>
      <c r="B377" s="12" t="s">
        <v>49</v>
      </c>
      <c r="C377" s="33"/>
      <c r="D377" s="33"/>
      <c r="E377" s="14" t="s">
        <v>50</v>
      </c>
      <c r="F377" s="32" t="s">
        <v>13</v>
      </c>
      <c r="G377" s="16"/>
      <c r="H377" s="16"/>
      <c r="I377" s="16"/>
      <c r="J377" s="16"/>
    </row>
    <row r="378" spans="1:10" s="1" customFormat="1" ht="22.5" customHeight="1">
      <c r="A378" s="34"/>
      <c r="B378" s="35"/>
      <c r="C378" s="35"/>
      <c r="D378" s="35"/>
      <c r="E378" s="35"/>
      <c r="F378" s="35"/>
      <c r="G378" s="35"/>
      <c r="H378" s="35"/>
      <c r="I378" s="35"/>
      <c r="J378" s="36"/>
    </row>
    <row r="379" spans="1:10" ht="22.5" customHeight="1">
      <c r="A379" s="11" t="str">
        <f aca="true" t="shared" si="30" ref="A379:A388">"14001"</f>
        <v>14001</v>
      </c>
      <c r="B379" s="12" t="s">
        <v>51</v>
      </c>
      <c r="C379" s="13">
        <v>1</v>
      </c>
      <c r="D379" s="13">
        <v>1</v>
      </c>
      <c r="E379" s="14" t="str">
        <f>"杨薇"</f>
        <v>杨薇</v>
      </c>
      <c r="F379" s="15">
        <v>84.38</v>
      </c>
      <c r="G379" s="16">
        <f aca="true" t="shared" si="31" ref="G379:G387">F379*0.8</f>
        <v>67.504</v>
      </c>
      <c r="H379" s="17">
        <v>92.5</v>
      </c>
      <c r="I379" s="17">
        <f aca="true" t="shared" si="32" ref="I379:I385">H379*0.2</f>
        <v>18.5</v>
      </c>
      <c r="J379" s="16">
        <f aca="true" t="shared" si="33" ref="J379:J385">G379+I379</f>
        <v>86.004</v>
      </c>
    </row>
    <row r="380" spans="1:10" ht="22.5" customHeight="1">
      <c r="A380" s="11" t="str">
        <f t="shared" si="30"/>
        <v>14001</v>
      </c>
      <c r="B380" s="12" t="s">
        <v>51</v>
      </c>
      <c r="C380" s="31"/>
      <c r="D380" s="31"/>
      <c r="E380" s="14" t="str">
        <f>"朱广程"</f>
        <v>朱广程</v>
      </c>
      <c r="F380" s="15">
        <v>83.58</v>
      </c>
      <c r="G380" s="17">
        <f t="shared" si="31"/>
        <v>66.864</v>
      </c>
      <c r="H380" s="17">
        <v>92.5</v>
      </c>
      <c r="I380" s="17">
        <f t="shared" si="32"/>
        <v>18.5</v>
      </c>
      <c r="J380" s="17">
        <f t="shared" si="33"/>
        <v>85.364</v>
      </c>
    </row>
    <row r="381" spans="1:10" ht="22.5" customHeight="1">
      <c r="A381" s="11" t="str">
        <f t="shared" si="30"/>
        <v>14001</v>
      </c>
      <c r="B381" s="12" t="s">
        <v>51</v>
      </c>
      <c r="C381" s="31"/>
      <c r="D381" s="31"/>
      <c r="E381" s="14" t="str">
        <f>"牛洋"</f>
        <v>牛洋</v>
      </c>
      <c r="F381" s="15">
        <v>83.26</v>
      </c>
      <c r="G381" s="17">
        <f t="shared" si="31"/>
        <v>66.608</v>
      </c>
      <c r="H381" s="17">
        <v>93.5</v>
      </c>
      <c r="I381" s="17">
        <f t="shared" si="32"/>
        <v>18.7</v>
      </c>
      <c r="J381" s="17">
        <f t="shared" si="33"/>
        <v>85.308</v>
      </c>
    </row>
    <row r="382" spans="1:10" ht="22.5" customHeight="1">
      <c r="A382" s="11" t="str">
        <f t="shared" si="30"/>
        <v>14001</v>
      </c>
      <c r="B382" s="12" t="s">
        <v>51</v>
      </c>
      <c r="C382" s="31"/>
      <c r="D382" s="31"/>
      <c r="E382" s="14" t="str">
        <f>"张北举"</f>
        <v>张北举</v>
      </c>
      <c r="F382" s="15">
        <v>83.26</v>
      </c>
      <c r="G382" s="17">
        <f t="shared" si="31"/>
        <v>66.608</v>
      </c>
      <c r="H382" s="17">
        <v>92.5</v>
      </c>
      <c r="I382" s="17">
        <f t="shared" si="32"/>
        <v>18.5</v>
      </c>
      <c r="J382" s="17">
        <f t="shared" si="33"/>
        <v>85.108</v>
      </c>
    </row>
    <row r="383" spans="1:10" ht="22.5" customHeight="1">
      <c r="A383" s="11" t="str">
        <f t="shared" si="30"/>
        <v>14001</v>
      </c>
      <c r="B383" s="12" t="s">
        <v>51</v>
      </c>
      <c r="C383" s="31"/>
      <c r="D383" s="31"/>
      <c r="E383" s="14" t="str">
        <f>"商朝帅"</f>
        <v>商朝帅</v>
      </c>
      <c r="F383" s="15">
        <v>82.8</v>
      </c>
      <c r="G383" s="17">
        <f t="shared" si="31"/>
        <v>66.24</v>
      </c>
      <c r="H383" s="17">
        <v>92.5</v>
      </c>
      <c r="I383" s="17">
        <f t="shared" si="32"/>
        <v>18.5</v>
      </c>
      <c r="J383" s="17">
        <f t="shared" si="33"/>
        <v>84.74</v>
      </c>
    </row>
    <row r="384" spans="1:10" ht="22.5" customHeight="1">
      <c r="A384" s="11" t="str">
        <f t="shared" si="30"/>
        <v>14001</v>
      </c>
      <c r="B384" s="12" t="s">
        <v>51</v>
      </c>
      <c r="C384" s="31"/>
      <c r="D384" s="31"/>
      <c r="E384" s="14" t="str">
        <f>"邓泰来"</f>
        <v>邓泰来</v>
      </c>
      <c r="F384" s="15">
        <v>82.5</v>
      </c>
      <c r="G384" s="17">
        <f t="shared" si="31"/>
        <v>66</v>
      </c>
      <c r="H384" s="17">
        <v>93</v>
      </c>
      <c r="I384" s="17">
        <f t="shared" si="32"/>
        <v>18.6</v>
      </c>
      <c r="J384" s="17">
        <f t="shared" si="33"/>
        <v>84.6</v>
      </c>
    </row>
    <row r="385" spans="1:10" ht="22.5" customHeight="1">
      <c r="A385" s="11" t="str">
        <f t="shared" si="30"/>
        <v>14001</v>
      </c>
      <c r="B385" s="12" t="s">
        <v>51</v>
      </c>
      <c r="C385" s="31"/>
      <c r="D385" s="31"/>
      <c r="E385" s="14" t="str">
        <f>"伍梦月"</f>
        <v>伍梦月</v>
      </c>
      <c r="F385" s="15">
        <v>82.74</v>
      </c>
      <c r="G385" s="17">
        <f t="shared" si="31"/>
        <v>66.192</v>
      </c>
      <c r="H385" s="17">
        <v>92</v>
      </c>
      <c r="I385" s="17">
        <f t="shared" si="32"/>
        <v>18.400000000000002</v>
      </c>
      <c r="J385" s="17">
        <f t="shared" si="33"/>
        <v>84.592</v>
      </c>
    </row>
    <row r="386" spans="1:10" ht="22.5" customHeight="1">
      <c r="A386" s="11" t="str">
        <f t="shared" si="30"/>
        <v>14001</v>
      </c>
      <c r="B386" s="12" t="s">
        <v>51</v>
      </c>
      <c r="C386" s="31"/>
      <c r="D386" s="31"/>
      <c r="E386" s="14" t="str">
        <f>"吴正官"</f>
        <v>吴正官</v>
      </c>
      <c r="F386" s="15">
        <v>81.88</v>
      </c>
      <c r="G386" s="17">
        <f t="shared" si="31"/>
        <v>65.504</v>
      </c>
      <c r="H386" s="17">
        <v>94</v>
      </c>
      <c r="I386" s="17">
        <f>H386*0.2</f>
        <v>18.8</v>
      </c>
      <c r="J386" s="17">
        <f>G386+I386</f>
        <v>84.304</v>
      </c>
    </row>
    <row r="387" spans="1:10" ht="22.5" customHeight="1">
      <c r="A387" s="11" t="str">
        <f t="shared" si="30"/>
        <v>14001</v>
      </c>
      <c r="B387" s="12" t="s">
        <v>51</v>
      </c>
      <c r="C387" s="31"/>
      <c r="D387" s="31"/>
      <c r="E387" s="14" t="str">
        <f>"孔盼"</f>
        <v>孔盼</v>
      </c>
      <c r="F387" s="15">
        <v>81.98</v>
      </c>
      <c r="G387" s="17">
        <f t="shared" si="31"/>
        <v>65.584</v>
      </c>
      <c r="H387" s="17">
        <v>93</v>
      </c>
      <c r="I387" s="17">
        <f>H387*0.2</f>
        <v>18.6</v>
      </c>
      <c r="J387" s="17">
        <f>G387+I387</f>
        <v>84.184</v>
      </c>
    </row>
    <row r="388" spans="1:10" s="1" customFormat="1" ht="22.5" customHeight="1">
      <c r="A388" s="23" t="str">
        <f t="shared" si="30"/>
        <v>14001</v>
      </c>
      <c r="B388" s="12" t="s">
        <v>51</v>
      </c>
      <c r="C388" s="33"/>
      <c r="D388" s="33"/>
      <c r="E388" s="14" t="str">
        <f>"邓丽玲"</f>
        <v>邓丽玲</v>
      </c>
      <c r="F388" s="32" t="s">
        <v>13</v>
      </c>
      <c r="G388" s="16"/>
      <c r="H388" s="16"/>
      <c r="I388" s="16"/>
      <c r="J388" s="16"/>
    </row>
    <row r="389" spans="1:10" s="1" customFormat="1" ht="22.5" customHeight="1">
      <c r="A389" s="34"/>
      <c r="B389" s="35"/>
      <c r="C389" s="35"/>
      <c r="D389" s="35"/>
      <c r="E389" s="35"/>
      <c r="F389" s="35"/>
      <c r="G389" s="35"/>
      <c r="H389" s="35"/>
      <c r="I389" s="35"/>
      <c r="J389" s="36"/>
    </row>
    <row r="390" spans="1:10" ht="22.5" customHeight="1">
      <c r="A390" s="11" t="str">
        <f>"14101"</f>
        <v>14101</v>
      </c>
      <c r="B390" s="12" t="s">
        <v>52</v>
      </c>
      <c r="C390" s="13">
        <v>1</v>
      </c>
      <c r="D390" s="13">
        <v>1</v>
      </c>
      <c r="E390" s="14" t="str">
        <f>"徐涛"</f>
        <v>徐涛</v>
      </c>
      <c r="F390" s="15">
        <v>84.84</v>
      </c>
      <c r="G390" s="16">
        <f>F390*0.8</f>
        <v>67.872</v>
      </c>
      <c r="H390" s="17">
        <v>93.5</v>
      </c>
      <c r="I390" s="17">
        <f>H390*0.2</f>
        <v>18.7</v>
      </c>
      <c r="J390" s="16">
        <f>G390+I390</f>
        <v>86.572</v>
      </c>
    </row>
    <row r="391" spans="1:10" ht="22.5" customHeight="1">
      <c r="A391" s="11" t="str">
        <f aca="true" t="shared" si="34" ref="A390:A395">"14101"</f>
        <v>14101</v>
      </c>
      <c r="B391" s="12" t="s">
        <v>52</v>
      </c>
      <c r="C391" s="31"/>
      <c r="D391" s="31"/>
      <c r="E391" s="14" t="str">
        <f>"文世风"</f>
        <v>文世风</v>
      </c>
      <c r="F391" s="15">
        <v>83.82</v>
      </c>
      <c r="G391" s="17">
        <f>F391*0.8</f>
        <v>67.056</v>
      </c>
      <c r="H391" s="17">
        <v>94.5</v>
      </c>
      <c r="I391" s="17">
        <f>H391*0.2</f>
        <v>18.900000000000002</v>
      </c>
      <c r="J391" s="17">
        <f>G391+I391</f>
        <v>85.956</v>
      </c>
    </row>
    <row r="392" spans="1:10" ht="22.5" customHeight="1">
      <c r="A392" s="11" t="str">
        <f t="shared" si="34"/>
        <v>14101</v>
      </c>
      <c r="B392" s="12" t="s">
        <v>52</v>
      </c>
      <c r="C392" s="31"/>
      <c r="D392" s="31"/>
      <c r="E392" s="14" t="str">
        <f>"喻丽"</f>
        <v>喻丽</v>
      </c>
      <c r="F392" s="15">
        <v>83.58</v>
      </c>
      <c r="G392" s="17">
        <f>F392*0.8</f>
        <v>66.864</v>
      </c>
      <c r="H392" s="17">
        <v>92</v>
      </c>
      <c r="I392" s="17">
        <f>H392*0.2</f>
        <v>18.400000000000002</v>
      </c>
      <c r="J392" s="17">
        <f>G392+I392</f>
        <v>85.26400000000001</v>
      </c>
    </row>
    <row r="393" spans="1:10" ht="22.5" customHeight="1">
      <c r="A393" s="11" t="str">
        <f t="shared" si="34"/>
        <v>14101</v>
      </c>
      <c r="B393" s="12" t="s">
        <v>52</v>
      </c>
      <c r="C393" s="31"/>
      <c r="D393" s="31"/>
      <c r="E393" s="14" t="str">
        <f>"毛祖元"</f>
        <v>毛祖元</v>
      </c>
      <c r="F393" s="15">
        <v>82.86</v>
      </c>
      <c r="G393" s="17">
        <f>F393*0.8</f>
        <v>66.288</v>
      </c>
      <c r="H393" s="17">
        <v>92.5</v>
      </c>
      <c r="I393" s="17">
        <f>H393*0.2</f>
        <v>18.5</v>
      </c>
      <c r="J393" s="17">
        <f>G393+I393</f>
        <v>84.788</v>
      </c>
    </row>
    <row r="394" spans="1:10" ht="22.5" customHeight="1">
      <c r="A394" s="11" t="str">
        <f t="shared" si="34"/>
        <v>14101</v>
      </c>
      <c r="B394" s="12" t="s">
        <v>52</v>
      </c>
      <c r="C394" s="31"/>
      <c r="D394" s="31"/>
      <c r="E394" s="12" t="str">
        <f>"李云"</f>
        <v>李云</v>
      </c>
      <c r="F394" s="32" t="s">
        <v>13</v>
      </c>
      <c r="G394" s="16"/>
      <c r="H394" s="17"/>
      <c r="I394" s="17"/>
      <c r="J394" s="17"/>
    </row>
    <row r="395" spans="1:10" s="1" customFormat="1" ht="22.5" customHeight="1">
      <c r="A395" s="23" t="str">
        <f t="shared" si="34"/>
        <v>14101</v>
      </c>
      <c r="B395" s="14" t="s">
        <v>52</v>
      </c>
      <c r="C395" s="33"/>
      <c r="D395" s="33"/>
      <c r="E395" s="14" t="str">
        <f>"王成蕾"</f>
        <v>王成蕾</v>
      </c>
      <c r="F395" s="32" t="s">
        <v>13</v>
      </c>
      <c r="G395" s="16"/>
      <c r="H395" s="16"/>
      <c r="I395" s="16"/>
      <c r="J395" s="16"/>
    </row>
    <row r="396" spans="1:10" s="1" customFormat="1" ht="22.5" customHeight="1">
      <c r="A396" s="34"/>
      <c r="B396" s="35"/>
      <c r="C396" s="35"/>
      <c r="D396" s="35"/>
      <c r="E396" s="35"/>
      <c r="F396" s="35"/>
      <c r="G396" s="35"/>
      <c r="H396" s="35"/>
      <c r="I396" s="35"/>
      <c r="J396" s="36"/>
    </row>
    <row r="397" spans="1:10" ht="22.5" customHeight="1">
      <c r="A397" s="11" t="str">
        <f>"14201"</f>
        <v>14201</v>
      </c>
      <c r="B397" s="12" t="s">
        <v>53</v>
      </c>
      <c r="C397" s="13">
        <v>1</v>
      </c>
      <c r="D397" s="13">
        <v>1</v>
      </c>
      <c r="E397" s="14" t="str">
        <f>"盛贵"</f>
        <v>盛贵</v>
      </c>
      <c r="F397" s="15">
        <v>83.84</v>
      </c>
      <c r="G397" s="16">
        <f>F397*0.8</f>
        <v>67.072</v>
      </c>
      <c r="H397" s="17">
        <v>93.5</v>
      </c>
      <c r="I397" s="17">
        <f>H397*0.2</f>
        <v>18.7</v>
      </c>
      <c r="J397" s="16">
        <f>G397+I397</f>
        <v>85.772</v>
      </c>
    </row>
    <row r="398" spans="1:10" ht="22.5" customHeight="1">
      <c r="A398" s="11" t="str">
        <f>"14201"</f>
        <v>14201</v>
      </c>
      <c r="B398" s="12" t="s">
        <v>53</v>
      </c>
      <c r="C398" s="31"/>
      <c r="D398" s="31"/>
      <c r="E398" s="14" t="str">
        <f>"欧阳子琳"</f>
        <v>欧阳子琳</v>
      </c>
      <c r="F398" s="15">
        <v>83</v>
      </c>
      <c r="G398" s="17">
        <f>F398*0.8</f>
        <v>66.4</v>
      </c>
      <c r="H398" s="17">
        <v>94.5</v>
      </c>
      <c r="I398" s="17">
        <f>H398*0.2</f>
        <v>18.900000000000002</v>
      </c>
      <c r="J398" s="17">
        <f>G398+I398</f>
        <v>85.30000000000001</v>
      </c>
    </row>
    <row r="399" spans="1:10" ht="22.5" customHeight="1">
      <c r="A399" s="11" t="str">
        <f>"14201"</f>
        <v>14201</v>
      </c>
      <c r="B399" s="12" t="s">
        <v>53</v>
      </c>
      <c r="C399" s="31"/>
      <c r="D399" s="31"/>
      <c r="E399" s="14" t="str">
        <f>"晏祥"</f>
        <v>晏祥</v>
      </c>
      <c r="F399" s="15">
        <v>82.38</v>
      </c>
      <c r="G399" s="17">
        <f>F399*0.8</f>
        <v>65.904</v>
      </c>
      <c r="H399" s="17">
        <v>94.5</v>
      </c>
      <c r="I399" s="17">
        <f>H399*0.2</f>
        <v>18.900000000000002</v>
      </c>
      <c r="J399" s="17">
        <f>G399+I399</f>
        <v>84.804</v>
      </c>
    </row>
    <row r="400" spans="1:10" ht="22.5" customHeight="1">
      <c r="A400" s="11" t="str">
        <f aca="true" t="shared" si="35" ref="A397:A402">"14201"</f>
        <v>14201</v>
      </c>
      <c r="B400" s="12" t="s">
        <v>53</v>
      </c>
      <c r="C400" s="31"/>
      <c r="D400" s="31"/>
      <c r="E400" s="12" t="str">
        <f>"周俊杰"</f>
        <v>周俊杰</v>
      </c>
      <c r="F400" s="32" t="s">
        <v>13</v>
      </c>
      <c r="G400" s="16"/>
      <c r="H400" s="17"/>
      <c r="I400" s="17"/>
      <c r="J400" s="17"/>
    </row>
    <row r="401" spans="1:10" ht="22.5" customHeight="1">
      <c r="A401" s="11" t="str">
        <f t="shared" si="35"/>
        <v>14201</v>
      </c>
      <c r="B401" s="12" t="s">
        <v>53</v>
      </c>
      <c r="C401" s="31"/>
      <c r="D401" s="31"/>
      <c r="E401" s="12" t="str">
        <f>"张玉杰"</f>
        <v>张玉杰</v>
      </c>
      <c r="F401" s="32" t="s">
        <v>13</v>
      </c>
      <c r="G401" s="16"/>
      <c r="H401" s="17"/>
      <c r="I401" s="17"/>
      <c r="J401" s="17"/>
    </row>
    <row r="402" spans="1:10" s="1" customFormat="1" ht="22.5" customHeight="1">
      <c r="A402" s="23" t="str">
        <f t="shared" si="35"/>
        <v>14201</v>
      </c>
      <c r="B402" s="14" t="s">
        <v>53</v>
      </c>
      <c r="C402" s="33"/>
      <c r="D402" s="33"/>
      <c r="E402" s="14" t="str">
        <f>"陈宁志"</f>
        <v>陈宁志</v>
      </c>
      <c r="F402" s="32" t="s">
        <v>13</v>
      </c>
      <c r="G402" s="16"/>
      <c r="H402" s="16"/>
      <c r="I402" s="16"/>
      <c r="J402" s="16"/>
    </row>
    <row r="403" spans="1:10" s="1" customFormat="1" ht="22.5" customHeight="1">
      <c r="A403" s="34"/>
      <c r="B403" s="35"/>
      <c r="C403" s="35"/>
      <c r="D403" s="35"/>
      <c r="E403" s="35"/>
      <c r="F403" s="35"/>
      <c r="G403" s="35"/>
      <c r="H403" s="35"/>
      <c r="I403" s="35"/>
      <c r="J403" s="36"/>
    </row>
    <row r="404" spans="1:10" ht="22.5" customHeight="1">
      <c r="A404" s="11" t="str">
        <f>"14301"</f>
        <v>14301</v>
      </c>
      <c r="B404" s="12" t="s">
        <v>54</v>
      </c>
      <c r="C404" s="13">
        <v>2</v>
      </c>
      <c r="D404" s="13">
        <v>1</v>
      </c>
      <c r="E404" s="14" t="str">
        <f>"王洁"</f>
        <v>王洁</v>
      </c>
      <c r="F404" s="15">
        <v>82.78</v>
      </c>
      <c r="G404" s="17">
        <f>F404*0.8</f>
        <v>66.224</v>
      </c>
      <c r="H404" s="17">
        <v>94.5</v>
      </c>
      <c r="I404" s="17">
        <f>H404*0.2</f>
        <v>18.900000000000002</v>
      </c>
      <c r="J404" s="17">
        <f>G404+I404</f>
        <v>85.12400000000001</v>
      </c>
    </row>
    <row r="405" spans="1:10" s="1" customFormat="1" ht="22.5" customHeight="1">
      <c r="A405" s="23" t="str">
        <f>"14301"</f>
        <v>14301</v>
      </c>
      <c r="B405" s="14" t="s">
        <v>54</v>
      </c>
      <c r="C405" s="33"/>
      <c r="D405" s="33"/>
      <c r="E405" s="14" t="str">
        <f>"张晶"</f>
        <v>张晶</v>
      </c>
      <c r="F405" s="32" t="s">
        <v>13</v>
      </c>
      <c r="G405" s="16"/>
      <c r="H405" s="16"/>
      <c r="I405" s="16"/>
      <c r="J405" s="16"/>
    </row>
    <row r="406" spans="1:10" s="1" customFormat="1" ht="22.5" customHeight="1">
      <c r="A406" s="34"/>
      <c r="B406" s="35"/>
      <c r="C406" s="35"/>
      <c r="D406" s="35"/>
      <c r="E406" s="35"/>
      <c r="F406" s="35"/>
      <c r="G406" s="35"/>
      <c r="H406" s="35"/>
      <c r="I406" s="35"/>
      <c r="J406" s="36"/>
    </row>
    <row r="407" spans="1:10" s="1" customFormat="1" ht="22.5" customHeight="1">
      <c r="A407" s="23" t="str">
        <f>"14302"</f>
        <v>14302</v>
      </c>
      <c r="B407" s="14" t="s">
        <v>54</v>
      </c>
      <c r="C407" s="23">
        <v>1</v>
      </c>
      <c r="D407" s="23">
        <v>0</v>
      </c>
      <c r="E407" s="14" t="str">
        <f>"刘伟明"</f>
        <v>刘伟明</v>
      </c>
      <c r="F407" s="32" t="s">
        <v>13</v>
      </c>
      <c r="G407" s="16"/>
      <c r="H407" s="16"/>
      <c r="I407" s="16"/>
      <c r="J407" s="16"/>
    </row>
    <row r="408" spans="1:10" s="1" customFormat="1" ht="22.5" customHeight="1">
      <c r="A408" s="34"/>
      <c r="B408" s="35"/>
      <c r="C408" s="35"/>
      <c r="D408" s="35"/>
      <c r="E408" s="35"/>
      <c r="F408" s="35"/>
      <c r="G408" s="35"/>
      <c r="H408" s="35"/>
      <c r="I408" s="35"/>
      <c r="J408" s="36"/>
    </row>
    <row r="409" spans="1:10" ht="22.5" customHeight="1">
      <c r="A409" s="11" t="str">
        <f>"14304"</f>
        <v>14304</v>
      </c>
      <c r="B409" s="12" t="s">
        <v>54</v>
      </c>
      <c r="C409" s="13">
        <v>1</v>
      </c>
      <c r="D409" s="13">
        <v>1</v>
      </c>
      <c r="E409" s="14" t="str">
        <f>"匡伟"</f>
        <v>匡伟</v>
      </c>
      <c r="F409" s="15">
        <v>85.98</v>
      </c>
      <c r="G409" s="17">
        <f>F409*0.8</f>
        <v>68.784</v>
      </c>
      <c r="H409" s="17">
        <v>92.5</v>
      </c>
      <c r="I409" s="17">
        <f>H409*0.2</f>
        <v>18.5</v>
      </c>
      <c r="J409" s="17">
        <f>G409+I409</f>
        <v>87.284</v>
      </c>
    </row>
    <row r="410" spans="1:10" ht="22.5" customHeight="1">
      <c r="A410" s="11" t="str">
        <f>"14304"</f>
        <v>14304</v>
      </c>
      <c r="B410" s="12" t="s">
        <v>54</v>
      </c>
      <c r="C410" s="31"/>
      <c r="D410" s="31"/>
      <c r="E410" s="12" t="str">
        <f>"张鹏杰"</f>
        <v>张鹏杰</v>
      </c>
      <c r="F410" s="32" t="s">
        <v>13</v>
      </c>
      <c r="G410" s="16"/>
      <c r="H410" s="17"/>
      <c r="I410" s="17"/>
      <c r="J410" s="17"/>
    </row>
    <row r="411" spans="1:10" s="1" customFormat="1" ht="22.5" customHeight="1">
      <c r="A411" s="23" t="str">
        <f>"14304"</f>
        <v>14304</v>
      </c>
      <c r="B411" s="14" t="s">
        <v>54</v>
      </c>
      <c r="C411" s="33"/>
      <c r="D411" s="33"/>
      <c r="E411" s="14" t="str">
        <f>"李孟婷"</f>
        <v>李孟婷</v>
      </c>
      <c r="F411" s="32" t="s">
        <v>13</v>
      </c>
      <c r="G411" s="16"/>
      <c r="H411" s="16"/>
      <c r="I411" s="16"/>
      <c r="J411" s="16"/>
    </row>
    <row r="412" spans="1:10" s="1" customFormat="1" ht="22.5" customHeight="1">
      <c r="A412" s="34"/>
      <c r="B412" s="35"/>
      <c r="C412" s="35"/>
      <c r="D412" s="35"/>
      <c r="E412" s="35"/>
      <c r="F412" s="35"/>
      <c r="G412" s="35"/>
      <c r="H412" s="35"/>
      <c r="I412" s="35"/>
      <c r="J412" s="36"/>
    </row>
    <row r="413" spans="1:10" ht="22.5" customHeight="1">
      <c r="A413" s="11" t="str">
        <f>"14401"</f>
        <v>14401</v>
      </c>
      <c r="B413" s="12" t="s">
        <v>55</v>
      </c>
      <c r="C413" s="13">
        <v>2</v>
      </c>
      <c r="D413" s="13">
        <v>1</v>
      </c>
      <c r="E413" s="14" t="str">
        <f>"成妙"</f>
        <v>成妙</v>
      </c>
      <c r="F413" s="15">
        <v>85.78</v>
      </c>
      <c r="G413" s="17">
        <f>F413*0.8</f>
        <v>68.62400000000001</v>
      </c>
      <c r="H413" s="17">
        <v>95.5</v>
      </c>
      <c r="I413" s="17">
        <f>H413*0.2</f>
        <v>19.1</v>
      </c>
      <c r="J413" s="17">
        <f>G413+I413</f>
        <v>87.72400000000002</v>
      </c>
    </row>
    <row r="414" spans="1:10" ht="22.5" customHeight="1">
      <c r="A414" s="11" t="str">
        <f>"14401"</f>
        <v>14401</v>
      </c>
      <c r="B414" s="12" t="s">
        <v>55</v>
      </c>
      <c r="C414" s="31"/>
      <c r="D414" s="31"/>
      <c r="E414" s="12" t="str">
        <f>"张琼"</f>
        <v>张琼</v>
      </c>
      <c r="F414" s="32" t="s">
        <v>13</v>
      </c>
      <c r="G414" s="16"/>
      <c r="H414" s="17"/>
      <c r="I414" s="17"/>
      <c r="J414" s="17"/>
    </row>
    <row r="415" spans="1:10" s="1" customFormat="1" ht="22.5" customHeight="1">
      <c r="A415" s="23" t="str">
        <f>"14401"</f>
        <v>14401</v>
      </c>
      <c r="B415" s="14" t="s">
        <v>55</v>
      </c>
      <c r="C415" s="33"/>
      <c r="D415" s="33"/>
      <c r="E415" s="14" t="str">
        <f>"朱宇琴"</f>
        <v>朱宇琴</v>
      </c>
      <c r="F415" s="32" t="s">
        <v>13</v>
      </c>
      <c r="G415" s="16"/>
      <c r="H415" s="16"/>
      <c r="I415" s="16"/>
      <c r="J415" s="16"/>
    </row>
    <row r="416" spans="1:10" s="1" customFormat="1" ht="22.5" customHeight="1">
      <c r="A416" s="34"/>
      <c r="B416" s="35"/>
      <c r="C416" s="35"/>
      <c r="D416" s="35"/>
      <c r="E416" s="35"/>
      <c r="F416" s="35"/>
      <c r="G416" s="35"/>
      <c r="H416" s="35"/>
      <c r="I416" s="35"/>
      <c r="J416" s="36"/>
    </row>
    <row r="417" spans="1:10" s="1" customFormat="1" ht="22.5" customHeight="1">
      <c r="A417" s="23" t="str">
        <f>"14501"</f>
        <v>14501</v>
      </c>
      <c r="B417" s="14" t="s">
        <v>56</v>
      </c>
      <c r="C417" s="23">
        <v>1</v>
      </c>
      <c r="D417" s="23">
        <v>1</v>
      </c>
      <c r="E417" s="14" t="str">
        <f>"周翔"</f>
        <v>周翔</v>
      </c>
      <c r="F417" s="32">
        <v>81.86</v>
      </c>
      <c r="G417" s="16">
        <f>F417*0.8</f>
        <v>65.488</v>
      </c>
      <c r="H417" s="16">
        <v>92</v>
      </c>
      <c r="I417" s="16">
        <f>H417*0.2</f>
        <v>18.400000000000002</v>
      </c>
      <c r="J417" s="16">
        <f>G417+I417</f>
        <v>83.888</v>
      </c>
    </row>
    <row r="418" spans="1:10" s="1" customFormat="1" ht="22.5" customHeight="1">
      <c r="A418" s="34"/>
      <c r="B418" s="35"/>
      <c r="C418" s="35"/>
      <c r="D418" s="35"/>
      <c r="E418" s="35"/>
      <c r="F418" s="35"/>
      <c r="G418" s="35"/>
      <c r="H418" s="35"/>
      <c r="I418" s="35"/>
      <c r="J418" s="36"/>
    </row>
    <row r="419" spans="1:10" ht="22.5" customHeight="1">
      <c r="A419" s="11" t="str">
        <f>"14701"</f>
        <v>14701</v>
      </c>
      <c r="B419" s="12" t="s">
        <v>57</v>
      </c>
      <c r="C419" s="13">
        <v>1</v>
      </c>
      <c r="D419" s="13">
        <v>1</v>
      </c>
      <c r="E419" s="14" t="str">
        <f>"吴勇"</f>
        <v>吴勇</v>
      </c>
      <c r="F419" s="15">
        <v>83.58</v>
      </c>
      <c r="G419" s="16">
        <f>F419*0.8</f>
        <v>66.864</v>
      </c>
      <c r="H419" s="17">
        <v>93</v>
      </c>
      <c r="I419" s="17">
        <f>H419*0.2</f>
        <v>18.6</v>
      </c>
      <c r="J419" s="16">
        <f>G419+I419</f>
        <v>85.464</v>
      </c>
    </row>
    <row r="420" spans="1:10" ht="22.5" customHeight="1">
      <c r="A420" s="11" t="str">
        <f>"14701"</f>
        <v>14701</v>
      </c>
      <c r="B420" s="12" t="s">
        <v>57</v>
      </c>
      <c r="C420" s="31"/>
      <c r="D420" s="31"/>
      <c r="E420" s="14" t="str">
        <f>"王主军"</f>
        <v>王主军</v>
      </c>
      <c r="F420" s="15">
        <v>83.14</v>
      </c>
      <c r="G420" s="17">
        <f>F420*0.8</f>
        <v>66.512</v>
      </c>
      <c r="H420" s="17">
        <v>93</v>
      </c>
      <c r="I420" s="17">
        <f>H420*0.2</f>
        <v>18.6</v>
      </c>
      <c r="J420" s="17">
        <f>G420+I420</f>
        <v>85.112</v>
      </c>
    </row>
    <row r="421" spans="1:10" ht="22.5" customHeight="1">
      <c r="A421" s="11" t="str">
        <f>"14701"</f>
        <v>14701</v>
      </c>
      <c r="B421" s="12" t="s">
        <v>57</v>
      </c>
      <c r="C421" s="31"/>
      <c r="D421" s="31"/>
      <c r="E421" s="12" t="str">
        <f>"李冰"</f>
        <v>李冰</v>
      </c>
      <c r="F421" s="32" t="s">
        <v>13</v>
      </c>
      <c r="G421" s="16"/>
      <c r="H421" s="17"/>
      <c r="I421" s="17"/>
      <c r="J421" s="17"/>
    </row>
    <row r="422" spans="1:10" ht="22.5" customHeight="1">
      <c r="A422" s="11" t="str">
        <f>"14701"</f>
        <v>14701</v>
      </c>
      <c r="B422" s="12" t="s">
        <v>57</v>
      </c>
      <c r="C422" s="31"/>
      <c r="D422" s="31"/>
      <c r="E422" s="12" t="str">
        <f>"王明皓"</f>
        <v>王明皓</v>
      </c>
      <c r="F422" s="32" t="s">
        <v>13</v>
      </c>
      <c r="G422" s="16"/>
      <c r="H422" s="17"/>
      <c r="I422" s="17"/>
      <c r="J422" s="17"/>
    </row>
    <row r="423" spans="1:10" s="1" customFormat="1" ht="22.5" customHeight="1">
      <c r="A423" s="23" t="str">
        <f>"14701"</f>
        <v>14701</v>
      </c>
      <c r="B423" s="14" t="s">
        <v>57</v>
      </c>
      <c r="C423" s="33"/>
      <c r="D423" s="33"/>
      <c r="E423" s="14" t="str">
        <f>"李志成"</f>
        <v>李志成</v>
      </c>
      <c r="F423" s="32" t="s">
        <v>13</v>
      </c>
      <c r="G423" s="16"/>
      <c r="H423" s="16"/>
      <c r="I423" s="16"/>
      <c r="J423" s="16"/>
    </row>
    <row r="424" spans="1:10" s="1" customFormat="1" ht="22.5" customHeight="1">
      <c r="A424" s="34"/>
      <c r="B424" s="35"/>
      <c r="C424" s="35"/>
      <c r="D424" s="35"/>
      <c r="E424" s="35"/>
      <c r="F424" s="35"/>
      <c r="G424" s="35"/>
      <c r="H424" s="35"/>
      <c r="I424" s="35"/>
      <c r="J424" s="36"/>
    </row>
    <row r="425" spans="1:10" ht="22.5" customHeight="1">
      <c r="A425" s="11" t="str">
        <f aca="true" t="shared" si="36" ref="A425:A435">"14801"</f>
        <v>14801</v>
      </c>
      <c r="B425" s="12" t="s">
        <v>58</v>
      </c>
      <c r="C425" s="13">
        <v>2</v>
      </c>
      <c r="D425" s="13">
        <v>2</v>
      </c>
      <c r="E425" s="14" t="str">
        <f>"王强"</f>
        <v>王强</v>
      </c>
      <c r="F425" s="15">
        <v>84.98</v>
      </c>
      <c r="G425" s="16">
        <f>F425*0.8</f>
        <v>67.98400000000001</v>
      </c>
      <c r="H425" s="17">
        <v>93.5</v>
      </c>
      <c r="I425" s="17">
        <f>H425*0.2</f>
        <v>18.7</v>
      </c>
      <c r="J425" s="16">
        <f>G425+I425</f>
        <v>86.68400000000001</v>
      </c>
    </row>
    <row r="426" spans="1:10" ht="22.5" customHeight="1">
      <c r="A426" s="11" t="str">
        <f t="shared" si="36"/>
        <v>14801</v>
      </c>
      <c r="B426" s="12" t="s">
        <v>58</v>
      </c>
      <c r="C426" s="31"/>
      <c r="D426" s="31"/>
      <c r="E426" s="14" t="str">
        <f>"刘璐璐"</f>
        <v>刘璐璐</v>
      </c>
      <c r="F426" s="15">
        <v>83.3</v>
      </c>
      <c r="G426" s="16">
        <f>F426*0.8</f>
        <v>66.64</v>
      </c>
      <c r="H426" s="17">
        <v>93.5</v>
      </c>
      <c r="I426" s="17">
        <f>H426*0.2</f>
        <v>18.7</v>
      </c>
      <c r="J426" s="16">
        <f>G426+I426</f>
        <v>85.34</v>
      </c>
    </row>
    <row r="427" spans="1:10" ht="22.5" customHeight="1">
      <c r="A427" s="11" t="str">
        <f t="shared" si="36"/>
        <v>14801</v>
      </c>
      <c r="B427" s="12" t="s">
        <v>58</v>
      </c>
      <c r="C427" s="31"/>
      <c r="D427" s="31"/>
      <c r="E427" s="14" t="str">
        <f>"吴亚琪"</f>
        <v>吴亚琪</v>
      </c>
      <c r="F427" s="15">
        <v>83.26</v>
      </c>
      <c r="G427" s="17">
        <f>F427*0.8</f>
        <v>66.608</v>
      </c>
      <c r="H427" s="17">
        <v>92.5</v>
      </c>
      <c r="I427" s="17">
        <f>H427*0.2</f>
        <v>18.5</v>
      </c>
      <c r="J427" s="17">
        <f>G427+I427</f>
        <v>85.108</v>
      </c>
    </row>
    <row r="428" spans="1:10" ht="22.5" customHeight="1">
      <c r="A428" s="11" t="str">
        <f t="shared" si="36"/>
        <v>14801</v>
      </c>
      <c r="B428" s="12" t="s">
        <v>58</v>
      </c>
      <c r="C428" s="31"/>
      <c r="D428" s="31"/>
      <c r="E428" s="14" t="str">
        <f>"涂奇奇"</f>
        <v>涂奇奇</v>
      </c>
      <c r="F428" s="15">
        <v>82.68</v>
      </c>
      <c r="G428" s="17">
        <f>F428*0.8</f>
        <v>66.144</v>
      </c>
      <c r="H428" s="17">
        <v>92.5</v>
      </c>
      <c r="I428" s="17">
        <f>H428*0.2</f>
        <v>18.5</v>
      </c>
      <c r="J428" s="17">
        <f>G428+I428</f>
        <v>84.644</v>
      </c>
    </row>
    <row r="429" spans="1:10" ht="22.5" customHeight="1">
      <c r="A429" s="11" t="str">
        <f t="shared" si="36"/>
        <v>14801</v>
      </c>
      <c r="B429" s="12" t="s">
        <v>58</v>
      </c>
      <c r="C429" s="31"/>
      <c r="D429" s="31"/>
      <c r="E429" s="14" t="str">
        <f>"雷帆"</f>
        <v>雷帆</v>
      </c>
      <c r="F429" s="15">
        <v>81.72</v>
      </c>
      <c r="G429" s="17">
        <f>F429*0.8</f>
        <v>65.376</v>
      </c>
      <c r="H429" s="17">
        <v>93.5</v>
      </c>
      <c r="I429" s="17">
        <f>H429*0.2</f>
        <v>18.7</v>
      </c>
      <c r="J429" s="17">
        <f>G429+I429</f>
        <v>84.07600000000001</v>
      </c>
    </row>
    <row r="430" spans="1:10" ht="22.5" customHeight="1">
      <c r="A430" s="11" t="str">
        <f t="shared" si="36"/>
        <v>14801</v>
      </c>
      <c r="B430" s="12" t="s">
        <v>58</v>
      </c>
      <c r="C430" s="31"/>
      <c r="D430" s="31"/>
      <c r="E430" s="12" t="str">
        <f>"蒋翘楚"</f>
        <v>蒋翘楚</v>
      </c>
      <c r="F430" s="32" t="s">
        <v>13</v>
      </c>
      <c r="G430" s="16"/>
      <c r="H430" s="17"/>
      <c r="I430" s="17"/>
      <c r="J430" s="17"/>
    </row>
    <row r="431" spans="1:10" ht="22.5" customHeight="1">
      <c r="A431" s="11" t="str">
        <f t="shared" si="36"/>
        <v>14801</v>
      </c>
      <c r="B431" s="12" t="s">
        <v>58</v>
      </c>
      <c r="C431" s="31"/>
      <c r="D431" s="31"/>
      <c r="E431" s="12" t="str">
        <f>"张宇恒"</f>
        <v>张宇恒</v>
      </c>
      <c r="F431" s="32" t="s">
        <v>13</v>
      </c>
      <c r="G431" s="16"/>
      <c r="H431" s="17"/>
      <c r="I431" s="17"/>
      <c r="J431" s="17"/>
    </row>
    <row r="432" spans="1:10" ht="22.5" customHeight="1">
      <c r="A432" s="11" t="str">
        <f t="shared" si="36"/>
        <v>14801</v>
      </c>
      <c r="B432" s="12" t="s">
        <v>58</v>
      </c>
      <c r="C432" s="31"/>
      <c r="D432" s="31"/>
      <c r="E432" s="12" t="str">
        <f>"张庆"</f>
        <v>张庆</v>
      </c>
      <c r="F432" s="32" t="s">
        <v>13</v>
      </c>
      <c r="G432" s="16"/>
      <c r="H432" s="17"/>
      <c r="I432" s="17"/>
      <c r="J432" s="17"/>
    </row>
    <row r="433" spans="1:10" ht="22.5" customHeight="1">
      <c r="A433" s="11" t="str">
        <f t="shared" si="36"/>
        <v>14801</v>
      </c>
      <c r="B433" s="12" t="s">
        <v>58</v>
      </c>
      <c r="C433" s="31"/>
      <c r="D433" s="31"/>
      <c r="E433" s="12" t="str">
        <f>"李安琦"</f>
        <v>李安琦</v>
      </c>
      <c r="F433" s="32" t="s">
        <v>13</v>
      </c>
      <c r="G433" s="16"/>
      <c r="H433" s="17"/>
      <c r="I433" s="17"/>
      <c r="J433" s="17"/>
    </row>
    <row r="434" spans="1:10" ht="22.5" customHeight="1">
      <c r="A434" s="11" t="str">
        <f t="shared" si="36"/>
        <v>14801</v>
      </c>
      <c r="B434" s="12" t="s">
        <v>58</v>
      </c>
      <c r="C434" s="31"/>
      <c r="D434" s="31"/>
      <c r="E434" s="12" t="str">
        <f>"田雯蕙"</f>
        <v>田雯蕙</v>
      </c>
      <c r="F434" s="32" t="s">
        <v>13</v>
      </c>
      <c r="G434" s="16"/>
      <c r="H434" s="17"/>
      <c r="I434" s="17"/>
      <c r="J434" s="17"/>
    </row>
    <row r="435" spans="1:10" s="1" customFormat="1" ht="22.5" customHeight="1">
      <c r="A435" s="23" t="str">
        <f t="shared" si="36"/>
        <v>14801</v>
      </c>
      <c r="B435" s="14" t="s">
        <v>58</v>
      </c>
      <c r="C435" s="33"/>
      <c r="D435" s="33"/>
      <c r="E435" s="14" t="str">
        <f>"方振凯"</f>
        <v>方振凯</v>
      </c>
      <c r="F435" s="32" t="s">
        <v>13</v>
      </c>
      <c r="G435" s="16"/>
      <c r="H435" s="16"/>
      <c r="I435" s="16"/>
      <c r="J435" s="16"/>
    </row>
    <row r="436" spans="1:10" s="1" customFormat="1" ht="22.5" customHeight="1">
      <c r="A436" s="34"/>
      <c r="B436" s="35"/>
      <c r="C436" s="35"/>
      <c r="D436" s="35"/>
      <c r="E436" s="35"/>
      <c r="F436" s="35"/>
      <c r="G436" s="35"/>
      <c r="H436" s="35"/>
      <c r="I436" s="35"/>
      <c r="J436" s="36"/>
    </row>
    <row r="437" spans="1:10" ht="22.5" customHeight="1">
      <c r="A437" s="11" t="str">
        <f aca="true" t="shared" si="37" ref="A437:A443">"14901"</f>
        <v>14901</v>
      </c>
      <c r="B437" s="12" t="s">
        <v>59</v>
      </c>
      <c r="C437" s="13">
        <v>1</v>
      </c>
      <c r="D437" s="13">
        <v>1</v>
      </c>
      <c r="E437" s="14" t="str">
        <f>"黄梅芳"</f>
        <v>黄梅芳</v>
      </c>
      <c r="F437" s="15">
        <v>84.56</v>
      </c>
      <c r="G437" s="17">
        <f>F437*0.8</f>
        <v>67.64800000000001</v>
      </c>
      <c r="H437" s="17">
        <v>92</v>
      </c>
      <c r="I437" s="17">
        <f>H437*0.2</f>
        <v>18.400000000000002</v>
      </c>
      <c r="J437" s="17">
        <f>G437+I437</f>
        <v>86.04800000000002</v>
      </c>
    </row>
    <row r="438" spans="1:10" ht="22.5" customHeight="1">
      <c r="A438" s="11" t="str">
        <f t="shared" si="37"/>
        <v>14901</v>
      </c>
      <c r="B438" s="12" t="s">
        <v>59</v>
      </c>
      <c r="C438" s="31"/>
      <c r="D438" s="31"/>
      <c r="E438" s="12" t="str">
        <f>"慈凌坤"</f>
        <v>慈凌坤</v>
      </c>
      <c r="F438" s="32" t="s">
        <v>13</v>
      </c>
      <c r="G438" s="16"/>
      <c r="H438" s="17"/>
      <c r="I438" s="17"/>
      <c r="J438" s="17"/>
    </row>
    <row r="439" spans="1:10" ht="22.5" customHeight="1">
      <c r="A439" s="11" t="str">
        <f t="shared" si="37"/>
        <v>14901</v>
      </c>
      <c r="B439" s="12" t="s">
        <v>59</v>
      </c>
      <c r="C439" s="31"/>
      <c r="D439" s="31"/>
      <c r="E439" s="12" t="str">
        <f>"杜玄武"</f>
        <v>杜玄武</v>
      </c>
      <c r="F439" s="32" t="s">
        <v>13</v>
      </c>
      <c r="G439" s="16"/>
      <c r="H439" s="17"/>
      <c r="I439" s="17"/>
      <c r="J439" s="17"/>
    </row>
    <row r="440" spans="1:10" ht="22.5" customHeight="1">
      <c r="A440" s="11" t="str">
        <f t="shared" si="37"/>
        <v>14901</v>
      </c>
      <c r="B440" s="12" t="s">
        <v>59</v>
      </c>
      <c r="C440" s="31"/>
      <c r="D440" s="31"/>
      <c r="E440" s="12" t="str">
        <f>"朱利楠"</f>
        <v>朱利楠</v>
      </c>
      <c r="F440" s="32" t="s">
        <v>13</v>
      </c>
      <c r="G440" s="16"/>
      <c r="H440" s="17"/>
      <c r="I440" s="17"/>
      <c r="J440" s="17"/>
    </row>
    <row r="441" spans="1:10" ht="22.5" customHeight="1">
      <c r="A441" s="11" t="str">
        <f t="shared" si="37"/>
        <v>14901</v>
      </c>
      <c r="B441" s="12" t="s">
        <v>59</v>
      </c>
      <c r="C441" s="31"/>
      <c r="D441" s="31"/>
      <c r="E441" s="12" t="str">
        <f>"谭秋环"</f>
        <v>谭秋环</v>
      </c>
      <c r="F441" s="32" t="s">
        <v>13</v>
      </c>
      <c r="G441" s="16"/>
      <c r="H441" s="17"/>
      <c r="I441" s="17"/>
      <c r="J441" s="17"/>
    </row>
    <row r="442" spans="1:10" ht="22.5" customHeight="1">
      <c r="A442" s="11" t="str">
        <f t="shared" si="37"/>
        <v>14901</v>
      </c>
      <c r="B442" s="12" t="s">
        <v>59</v>
      </c>
      <c r="C442" s="31"/>
      <c r="D442" s="31"/>
      <c r="E442" s="12" t="str">
        <f>"魏斌斌"</f>
        <v>魏斌斌</v>
      </c>
      <c r="F442" s="32" t="s">
        <v>13</v>
      </c>
      <c r="G442" s="16"/>
      <c r="H442" s="17"/>
      <c r="I442" s="17"/>
      <c r="J442" s="17"/>
    </row>
    <row r="443" spans="1:10" s="1" customFormat="1" ht="22.5" customHeight="1">
      <c r="A443" s="23" t="str">
        <f t="shared" si="37"/>
        <v>14901</v>
      </c>
      <c r="B443" s="14" t="s">
        <v>59</v>
      </c>
      <c r="C443" s="33"/>
      <c r="D443" s="33"/>
      <c r="E443" s="14" t="str">
        <f>"戴林"</f>
        <v>戴林</v>
      </c>
      <c r="F443" s="32" t="s">
        <v>13</v>
      </c>
      <c r="G443" s="16"/>
      <c r="H443" s="16"/>
      <c r="I443" s="16"/>
      <c r="J443" s="16"/>
    </row>
    <row r="444" spans="1:10" s="1" customFormat="1" ht="22.5" customHeight="1">
      <c r="A444" s="34"/>
      <c r="B444" s="35"/>
      <c r="C444" s="35"/>
      <c r="D444" s="35"/>
      <c r="E444" s="35"/>
      <c r="F444" s="35"/>
      <c r="G444" s="35"/>
      <c r="H444" s="35"/>
      <c r="I444" s="35"/>
      <c r="J444" s="36"/>
    </row>
    <row r="445" spans="1:10" ht="22.5" customHeight="1">
      <c r="A445" s="11" t="str">
        <f aca="true" t="shared" si="38" ref="A445:A450">"15001"</f>
        <v>15001</v>
      </c>
      <c r="B445" s="12" t="s">
        <v>60</v>
      </c>
      <c r="C445" s="13">
        <v>1</v>
      </c>
      <c r="D445" s="13">
        <v>1</v>
      </c>
      <c r="E445" s="14" t="str">
        <f>"危张建"</f>
        <v>危张建</v>
      </c>
      <c r="F445" s="15">
        <v>83.64</v>
      </c>
      <c r="G445" s="16">
        <f>F445*0.8</f>
        <v>66.912</v>
      </c>
      <c r="H445" s="17">
        <v>93.5</v>
      </c>
      <c r="I445" s="17">
        <f>H445*0.2</f>
        <v>18.7</v>
      </c>
      <c r="J445" s="16">
        <f>G445+I445</f>
        <v>85.61200000000001</v>
      </c>
    </row>
    <row r="446" spans="1:10" ht="22.5" customHeight="1">
      <c r="A446" s="11" t="str">
        <f t="shared" si="38"/>
        <v>15001</v>
      </c>
      <c r="B446" s="12" t="s">
        <v>60</v>
      </c>
      <c r="C446" s="31"/>
      <c r="D446" s="31"/>
      <c r="E446" s="14" t="str">
        <f>"孟骞"</f>
        <v>孟骞</v>
      </c>
      <c r="F446" s="15">
        <v>83.36</v>
      </c>
      <c r="G446" s="17">
        <f>F446*0.8</f>
        <v>66.688</v>
      </c>
      <c r="H446" s="17">
        <v>92.5</v>
      </c>
      <c r="I446" s="17">
        <f>H446*0.2</f>
        <v>18.5</v>
      </c>
      <c r="J446" s="17">
        <f>G446+I446</f>
        <v>85.188</v>
      </c>
    </row>
    <row r="447" spans="1:10" ht="22.5" customHeight="1">
      <c r="A447" s="11" t="str">
        <f t="shared" si="38"/>
        <v>15001</v>
      </c>
      <c r="B447" s="12" t="s">
        <v>60</v>
      </c>
      <c r="C447" s="31"/>
      <c r="D447" s="31"/>
      <c r="E447" s="14" t="str">
        <f>"彭子艳"</f>
        <v>彭子艳</v>
      </c>
      <c r="F447" s="15">
        <v>82.32</v>
      </c>
      <c r="G447" s="17">
        <f>F447*0.8</f>
        <v>65.856</v>
      </c>
      <c r="H447" s="17">
        <v>92</v>
      </c>
      <c r="I447" s="17">
        <f>H447*0.2</f>
        <v>18.400000000000002</v>
      </c>
      <c r="J447" s="17">
        <f>G447+I447</f>
        <v>84.256</v>
      </c>
    </row>
    <row r="448" spans="1:10" ht="22.5" customHeight="1">
      <c r="A448" s="11" t="str">
        <f t="shared" si="38"/>
        <v>15001</v>
      </c>
      <c r="B448" s="12" t="s">
        <v>60</v>
      </c>
      <c r="C448" s="31"/>
      <c r="D448" s="31"/>
      <c r="E448" s="12" t="str">
        <f>"向云"</f>
        <v>向云</v>
      </c>
      <c r="F448" s="32" t="s">
        <v>13</v>
      </c>
      <c r="G448" s="16"/>
      <c r="H448" s="17"/>
      <c r="I448" s="17"/>
      <c r="J448" s="17"/>
    </row>
    <row r="449" spans="1:10" ht="22.5" customHeight="1">
      <c r="A449" s="11" t="str">
        <f t="shared" si="38"/>
        <v>15001</v>
      </c>
      <c r="B449" s="12" t="s">
        <v>60</v>
      </c>
      <c r="C449" s="31"/>
      <c r="D449" s="31"/>
      <c r="E449" s="12" t="str">
        <f>"卫安那"</f>
        <v>卫安那</v>
      </c>
      <c r="F449" s="32" t="s">
        <v>13</v>
      </c>
      <c r="G449" s="16"/>
      <c r="H449" s="17"/>
      <c r="I449" s="17"/>
      <c r="J449" s="17"/>
    </row>
    <row r="450" spans="1:10" s="1" customFormat="1" ht="22.5" customHeight="1">
      <c r="A450" s="23" t="str">
        <f t="shared" si="38"/>
        <v>15001</v>
      </c>
      <c r="B450" s="14" t="s">
        <v>60</v>
      </c>
      <c r="C450" s="33"/>
      <c r="D450" s="33"/>
      <c r="E450" s="14" t="str">
        <f>"向蕾"</f>
        <v>向蕾</v>
      </c>
      <c r="F450" s="32" t="s">
        <v>13</v>
      </c>
      <c r="G450" s="16"/>
      <c r="H450" s="16"/>
      <c r="I450" s="16"/>
      <c r="J450" s="16"/>
    </row>
    <row r="451" spans="1:10" s="1" customFormat="1" ht="22.5" customHeight="1">
      <c r="A451" s="34"/>
      <c r="B451" s="35"/>
      <c r="C451" s="35"/>
      <c r="D451" s="35"/>
      <c r="E451" s="35"/>
      <c r="F451" s="35"/>
      <c r="G451" s="35"/>
      <c r="H451" s="35"/>
      <c r="I451" s="35"/>
      <c r="J451" s="36"/>
    </row>
    <row r="452" spans="1:10" ht="22.5" customHeight="1">
      <c r="A452" s="11" t="str">
        <f>"15002"</f>
        <v>15002</v>
      </c>
      <c r="B452" s="12" t="s">
        <v>60</v>
      </c>
      <c r="C452" s="13">
        <v>1</v>
      </c>
      <c r="D452" s="13">
        <v>0</v>
      </c>
      <c r="E452" s="12" t="str">
        <f>"万子峰"</f>
        <v>万子峰</v>
      </c>
      <c r="F452" s="32" t="s">
        <v>13</v>
      </c>
      <c r="G452" s="16"/>
      <c r="H452" s="17"/>
      <c r="I452" s="17"/>
      <c r="J452" s="17"/>
    </row>
    <row r="453" spans="1:10" ht="22.5" customHeight="1">
      <c r="A453" s="11" t="str">
        <f>"15002"</f>
        <v>15002</v>
      </c>
      <c r="B453" s="12" t="s">
        <v>60</v>
      </c>
      <c r="C453" s="31"/>
      <c r="D453" s="31"/>
      <c r="E453" s="12" t="str">
        <f>"熊乙峰"</f>
        <v>熊乙峰</v>
      </c>
      <c r="F453" s="32" t="s">
        <v>13</v>
      </c>
      <c r="G453" s="16"/>
      <c r="H453" s="17"/>
      <c r="I453" s="17"/>
      <c r="J453" s="17"/>
    </row>
    <row r="454" spans="1:10" s="1" customFormat="1" ht="22.5" customHeight="1">
      <c r="A454" s="23" t="str">
        <f>"15002"</f>
        <v>15002</v>
      </c>
      <c r="B454" s="14" t="s">
        <v>60</v>
      </c>
      <c r="C454" s="33"/>
      <c r="D454" s="33"/>
      <c r="E454" s="14" t="str">
        <f>"田园"</f>
        <v>田园</v>
      </c>
      <c r="F454" s="32" t="s">
        <v>13</v>
      </c>
      <c r="G454" s="16"/>
      <c r="H454" s="16"/>
      <c r="I454" s="16"/>
      <c r="J454" s="16"/>
    </row>
    <row r="455" spans="1:10" s="1" customFormat="1" ht="22.5" customHeight="1">
      <c r="A455" s="34"/>
      <c r="B455" s="35"/>
      <c r="C455" s="35"/>
      <c r="D455" s="35"/>
      <c r="E455" s="35"/>
      <c r="F455" s="35"/>
      <c r="G455" s="35"/>
      <c r="H455" s="35"/>
      <c r="I455" s="35"/>
      <c r="J455" s="36"/>
    </row>
    <row r="456" spans="1:10" ht="22.5" customHeight="1">
      <c r="A456" s="11" t="str">
        <f>"15101"</f>
        <v>15101</v>
      </c>
      <c r="B456" s="12" t="s">
        <v>61</v>
      </c>
      <c r="C456" s="13">
        <v>1</v>
      </c>
      <c r="D456" s="13">
        <v>1</v>
      </c>
      <c r="E456" s="14" t="str">
        <f>"李霄"</f>
        <v>李霄</v>
      </c>
      <c r="F456" s="15">
        <v>83.34</v>
      </c>
      <c r="G456" s="17">
        <f>F456*0.8</f>
        <v>66.67200000000001</v>
      </c>
      <c r="H456" s="17">
        <v>93.5</v>
      </c>
      <c r="I456" s="17">
        <f>H456*0.2</f>
        <v>18.7</v>
      </c>
      <c r="J456" s="17">
        <f>G456+I456</f>
        <v>85.37200000000001</v>
      </c>
    </row>
    <row r="457" spans="1:10" ht="22.5" customHeight="1">
      <c r="A457" s="11" t="str">
        <f>"15101"</f>
        <v>15101</v>
      </c>
      <c r="B457" s="12" t="s">
        <v>61</v>
      </c>
      <c r="C457" s="31"/>
      <c r="D457" s="31"/>
      <c r="E457" s="12" t="str">
        <f>"冀佳昊"</f>
        <v>冀佳昊</v>
      </c>
      <c r="F457" s="32" t="s">
        <v>13</v>
      </c>
      <c r="G457" s="16"/>
      <c r="H457" s="17"/>
      <c r="I457" s="17"/>
      <c r="J457" s="17"/>
    </row>
    <row r="458" spans="1:10" ht="22.5" customHeight="1">
      <c r="A458" s="11" t="str">
        <f>"15101"</f>
        <v>15101</v>
      </c>
      <c r="B458" s="12" t="s">
        <v>61</v>
      </c>
      <c r="C458" s="31"/>
      <c r="D458" s="31"/>
      <c r="E458" s="12" t="str">
        <f>"谢丽娜"</f>
        <v>谢丽娜</v>
      </c>
      <c r="F458" s="32" t="s">
        <v>13</v>
      </c>
      <c r="G458" s="16"/>
      <c r="H458" s="17"/>
      <c r="I458" s="17"/>
      <c r="J458" s="17"/>
    </row>
    <row r="459" spans="1:10" s="1" customFormat="1" ht="22.5" customHeight="1">
      <c r="A459" s="23" t="str">
        <f>"15101"</f>
        <v>15101</v>
      </c>
      <c r="B459" s="14" t="s">
        <v>61</v>
      </c>
      <c r="C459" s="33"/>
      <c r="D459" s="33"/>
      <c r="E459" s="14" t="str">
        <f>"刘锐"</f>
        <v>刘锐</v>
      </c>
      <c r="F459" s="32" t="s">
        <v>13</v>
      </c>
      <c r="G459" s="16"/>
      <c r="H459" s="16"/>
      <c r="I459" s="16"/>
      <c r="J459" s="16"/>
    </row>
    <row r="460" spans="1:10" s="1" customFormat="1" ht="22.5" customHeight="1">
      <c r="A460" s="34"/>
      <c r="B460" s="35"/>
      <c r="C460" s="35"/>
      <c r="D460" s="35"/>
      <c r="E460" s="35"/>
      <c r="F460" s="35"/>
      <c r="G460" s="35"/>
      <c r="H460" s="35"/>
      <c r="I460" s="35"/>
      <c r="J460" s="36"/>
    </row>
    <row r="461" spans="1:10" ht="22.5" customHeight="1">
      <c r="A461" s="11" t="str">
        <f aca="true" t="shared" si="39" ref="A461:A476">"15201"</f>
        <v>15201</v>
      </c>
      <c r="B461" s="12" t="s">
        <v>62</v>
      </c>
      <c r="C461" s="13">
        <v>4</v>
      </c>
      <c r="D461" s="13">
        <v>4</v>
      </c>
      <c r="E461" s="14" t="str">
        <f>"张学豪"</f>
        <v>张学豪</v>
      </c>
      <c r="F461" s="15">
        <v>84.32</v>
      </c>
      <c r="G461" s="16">
        <f>F461*0.8</f>
        <v>67.456</v>
      </c>
      <c r="H461" s="17">
        <v>94.5</v>
      </c>
      <c r="I461" s="17">
        <f>H461*0.2</f>
        <v>18.900000000000002</v>
      </c>
      <c r="J461" s="16">
        <f>G461+I461</f>
        <v>86.35600000000001</v>
      </c>
    </row>
    <row r="462" spans="1:10" ht="22.5" customHeight="1">
      <c r="A462" s="11" t="str">
        <f t="shared" si="39"/>
        <v>15201</v>
      </c>
      <c r="B462" s="12" t="s">
        <v>62</v>
      </c>
      <c r="C462" s="31"/>
      <c r="D462" s="31"/>
      <c r="E462" s="14" t="str">
        <f>"余克龙"</f>
        <v>余克龙</v>
      </c>
      <c r="F462" s="15">
        <v>83.72</v>
      </c>
      <c r="G462" s="16">
        <f>F462*0.8</f>
        <v>66.976</v>
      </c>
      <c r="H462" s="17">
        <v>95</v>
      </c>
      <c r="I462" s="17">
        <f>H462*0.2</f>
        <v>19</v>
      </c>
      <c r="J462" s="16">
        <f>G462+I462</f>
        <v>85.976</v>
      </c>
    </row>
    <row r="463" spans="1:10" ht="22.5" customHeight="1">
      <c r="A463" s="11" t="str">
        <f t="shared" si="39"/>
        <v>15201</v>
      </c>
      <c r="B463" s="12" t="s">
        <v>62</v>
      </c>
      <c r="C463" s="31"/>
      <c r="D463" s="31"/>
      <c r="E463" s="14" t="str">
        <f>"甘涔"</f>
        <v>甘涔</v>
      </c>
      <c r="F463" s="15">
        <v>83.62</v>
      </c>
      <c r="G463" s="16">
        <f>F463*0.8</f>
        <v>66.896</v>
      </c>
      <c r="H463" s="17">
        <v>94</v>
      </c>
      <c r="I463" s="17">
        <f>H463*0.2</f>
        <v>18.8</v>
      </c>
      <c r="J463" s="16">
        <f>G463+I463</f>
        <v>85.696</v>
      </c>
    </row>
    <row r="464" spans="1:10" ht="22.5" customHeight="1">
      <c r="A464" s="11" t="str">
        <f t="shared" si="39"/>
        <v>15201</v>
      </c>
      <c r="B464" s="12" t="s">
        <v>62</v>
      </c>
      <c r="C464" s="31"/>
      <c r="D464" s="31"/>
      <c r="E464" s="14" t="str">
        <f>"张剑"</f>
        <v>张剑</v>
      </c>
      <c r="F464" s="15">
        <v>83.52</v>
      </c>
      <c r="G464" s="16">
        <f>F464*0.8</f>
        <v>66.816</v>
      </c>
      <c r="H464" s="17">
        <v>94</v>
      </c>
      <c r="I464" s="17">
        <f>H464*0.2</f>
        <v>18.8</v>
      </c>
      <c r="J464" s="16">
        <f>G464+I464</f>
        <v>85.616</v>
      </c>
    </row>
    <row r="465" spans="1:10" ht="22.5" customHeight="1">
      <c r="A465" s="11" t="str">
        <f t="shared" si="39"/>
        <v>15201</v>
      </c>
      <c r="B465" s="12" t="s">
        <v>62</v>
      </c>
      <c r="C465" s="31"/>
      <c r="D465" s="31"/>
      <c r="E465" s="14" t="str">
        <f>"尹聪"</f>
        <v>尹聪</v>
      </c>
      <c r="F465" s="15">
        <v>81.66</v>
      </c>
      <c r="G465" s="17">
        <f>F465*0.8</f>
        <v>65.328</v>
      </c>
      <c r="H465" s="17">
        <v>92.5</v>
      </c>
      <c r="I465" s="17">
        <f>H465*0.2</f>
        <v>18.5</v>
      </c>
      <c r="J465" s="17">
        <f>G465+I465</f>
        <v>83.828</v>
      </c>
    </row>
    <row r="466" spans="1:10" ht="22.5" customHeight="1">
      <c r="A466" s="11" t="str">
        <f t="shared" si="39"/>
        <v>15201</v>
      </c>
      <c r="B466" s="12" t="s">
        <v>62</v>
      </c>
      <c r="C466" s="31"/>
      <c r="D466" s="31"/>
      <c r="E466" s="12" t="str">
        <f>"李彬"</f>
        <v>李彬</v>
      </c>
      <c r="F466" s="32" t="s">
        <v>13</v>
      </c>
      <c r="G466" s="16"/>
      <c r="H466" s="17"/>
      <c r="I466" s="17"/>
      <c r="J466" s="17"/>
    </row>
    <row r="467" spans="1:10" ht="22.5" customHeight="1">
      <c r="A467" s="11" t="str">
        <f t="shared" si="39"/>
        <v>15201</v>
      </c>
      <c r="B467" s="12" t="s">
        <v>62</v>
      </c>
      <c r="C467" s="31"/>
      <c r="D467" s="31"/>
      <c r="E467" s="12" t="str">
        <f>"王辉"</f>
        <v>王辉</v>
      </c>
      <c r="F467" s="32" t="s">
        <v>13</v>
      </c>
      <c r="G467" s="16"/>
      <c r="H467" s="17"/>
      <c r="I467" s="17"/>
      <c r="J467" s="17"/>
    </row>
    <row r="468" spans="1:10" ht="22.5" customHeight="1">
      <c r="A468" s="11" t="str">
        <f t="shared" si="39"/>
        <v>15201</v>
      </c>
      <c r="B468" s="12" t="s">
        <v>62</v>
      </c>
      <c r="C468" s="31"/>
      <c r="D468" s="31"/>
      <c r="E468" s="12" t="str">
        <f>"邱桂芬"</f>
        <v>邱桂芬</v>
      </c>
      <c r="F468" s="32" t="s">
        <v>13</v>
      </c>
      <c r="G468" s="16"/>
      <c r="H468" s="17"/>
      <c r="I468" s="17"/>
      <c r="J468" s="17"/>
    </row>
    <row r="469" spans="1:10" ht="22.5" customHeight="1">
      <c r="A469" s="11" t="str">
        <f t="shared" si="39"/>
        <v>15201</v>
      </c>
      <c r="B469" s="12" t="s">
        <v>62</v>
      </c>
      <c r="C469" s="31"/>
      <c r="D469" s="31"/>
      <c r="E469" s="12" t="str">
        <f>"张维娅"</f>
        <v>张维娅</v>
      </c>
      <c r="F469" s="32" t="s">
        <v>13</v>
      </c>
      <c r="G469" s="16"/>
      <c r="H469" s="17"/>
      <c r="I469" s="17"/>
      <c r="J469" s="17"/>
    </row>
    <row r="470" spans="1:10" ht="22.5" customHeight="1">
      <c r="A470" s="11" t="str">
        <f t="shared" si="39"/>
        <v>15201</v>
      </c>
      <c r="B470" s="12" t="s">
        <v>62</v>
      </c>
      <c r="C470" s="31"/>
      <c r="D470" s="31"/>
      <c r="E470" s="12" t="str">
        <f>"刘丽霞"</f>
        <v>刘丽霞</v>
      </c>
      <c r="F470" s="32" t="s">
        <v>13</v>
      </c>
      <c r="G470" s="16"/>
      <c r="H470" s="17"/>
      <c r="I470" s="17"/>
      <c r="J470" s="17"/>
    </row>
    <row r="471" spans="1:10" ht="22.5" customHeight="1">
      <c r="A471" s="11" t="str">
        <f t="shared" si="39"/>
        <v>15201</v>
      </c>
      <c r="B471" s="12" t="s">
        <v>62</v>
      </c>
      <c r="C471" s="31"/>
      <c r="D471" s="31"/>
      <c r="E471" s="12" t="str">
        <f>"杨金萍"</f>
        <v>杨金萍</v>
      </c>
      <c r="F471" s="32" t="s">
        <v>13</v>
      </c>
      <c r="G471" s="16"/>
      <c r="H471" s="17"/>
      <c r="I471" s="17"/>
      <c r="J471" s="17"/>
    </row>
    <row r="472" spans="1:10" ht="22.5" customHeight="1">
      <c r="A472" s="11" t="str">
        <f t="shared" si="39"/>
        <v>15201</v>
      </c>
      <c r="B472" s="12" t="s">
        <v>62</v>
      </c>
      <c r="C472" s="31"/>
      <c r="D472" s="31"/>
      <c r="E472" s="12" t="str">
        <f>"向晓月"</f>
        <v>向晓月</v>
      </c>
      <c r="F472" s="32" t="s">
        <v>13</v>
      </c>
      <c r="G472" s="16"/>
      <c r="H472" s="17"/>
      <c r="I472" s="17"/>
      <c r="J472" s="17"/>
    </row>
    <row r="473" spans="1:10" ht="22.5" customHeight="1">
      <c r="A473" s="11" t="str">
        <f t="shared" si="39"/>
        <v>15201</v>
      </c>
      <c r="B473" s="12" t="s">
        <v>62</v>
      </c>
      <c r="C473" s="31"/>
      <c r="D473" s="31"/>
      <c r="E473" s="12" t="str">
        <f>"周王银"</f>
        <v>周王银</v>
      </c>
      <c r="F473" s="32" t="s">
        <v>13</v>
      </c>
      <c r="G473" s="16"/>
      <c r="H473" s="17"/>
      <c r="I473" s="17"/>
      <c r="J473" s="17"/>
    </row>
    <row r="474" spans="1:10" ht="22.5" customHeight="1">
      <c r="A474" s="11" t="str">
        <f t="shared" si="39"/>
        <v>15201</v>
      </c>
      <c r="B474" s="12" t="s">
        <v>62</v>
      </c>
      <c r="C474" s="31"/>
      <c r="D474" s="31"/>
      <c r="E474" s="12" t="str">
        <f>" 谭菊琼"</f>
        <v> 谭菊琼</v>
      </c>
      <c r="F474" s="32" t="s">
        <v>13</v>
      </c>
      <c r="G474" s="16"/>
      <c r="H474" s="17"/>
      <c r="I474" s="17"/>
      <c r="J474" s="17"/>
    </row>
    <row r="475" spans="1:10" ht="22.5" customHeight="1">
      <c r="A475" s="11" t="str">
        <f t="shared" si="39"/>
        <v>15201</v>
      </c>
      <c r="B475" s="12" t="s">
        <v>62</v>
      </c>
      <c r="C475" s="31"/>
      <c r="D475" s="31"/>
      <c r="E475" s="12" t="str">
        <f>"钟文婷"</f>
        <v>钟文婷</v>
      </c>
      <c r="F475" s="32" t="s">
        <v>13</v>
      </c>
      <c r="G475" s="16"/>
      <c r="H475" s="17"/>
      <c r="I475" s="17"/>
      <c r="J475" s="17"/>
    </row>
    <row r="476" spans="1:10" s="1" customFormat="1" ht="22.5" customHeight="1">
      <c r="A476" s="23" t="str">
        <f t="shared" si="39"/>
        <v>15201</v>
      </c>
      <c r="B476" s="14" t="s">
        <v>62</v>
      </c>
      <c r="C476" s="33"/>
      <c r="D476" s="33"/>
      <c r="E476" s="14" t="str">
        <f>"侯思佳"</f>
        <v>侯思佳</v>
      </c>
      <c r="F476" s="32" t="s">
        <v>13</v>
      </c>
      <c r="G476" s="16"/>
      <c r="H476" s="16"/>
      <c r="I476" s="16"/>
      <c r="J476" s="16"/>
    </row>
    <row r="477" spans="1:10" s="1" customFormat="1" ht="22.5" customHeight="1">
      <c r="A477" s="34"/>
      <c r="B477" s="35"/>
      <c r="C477" s="35"/>
      <c r="D477" s="35"/>
      <c r="E477" s="35"/>
      <c r="F477" s="35"/>
      <c r="G477" s="35"/>
      <c r="H477" s="35"/>
      <c r="I477" s="35"/>
      <c r="J477" s="36"/>
    </row>
    <row r="478" spans="1:10" ht="22.5" customHeight="1">
      <c r="A478" s="11" t="str">
        <f aca="true" t="shared" si="40" ref="A478:A484">"15301"</f>
        <v>15301</v>
      </c>
      <c r="B478" s="12" t="s">
        <v>63</v>
      </c>
      <c r="C478" s="13">
        <v>2</v>
      </c>
      <c r="D478" s="13">
        <v>2</v>
      </c>
      <c r="E478" s="14" t="str">
        <f>"王玉玺"</f>
        <v>王玉玺</v>
      </c>
      <c r="F478" s="15">
        <v>84.8</v>
      </c>
      <c r="G478" s="16">
        <f>F478*0.8</f>
        <v>67.84</v>
      </c>
      <c r="H478" s="17">
        <v>94</v>
      </c>
      <c r="I478" s="17">
        <f>H478*0.2</f>
        <v>18.8</v>
      </c>
      <c r="J478" s="16">
        <f>G478+I478</f>
        <v>86.64</v>
      </c>
    </row>
    <row r="479" spans="1:10" ht="22.5" customHeight="1">
      <c r="A479" s="11" t="str">
        <f t="shared" si="40"/>
        <v>15301</v>
      </c>
      <c r="B479" s="12" t="s">
        <v>63</v>
      </c>
      <c r="C479" s="31"/>
      <c r="D479" s="31"/>
      <c r="E479" s="14" t="str">
        <f>"胡凡可"</f>
        <v>胡凡可</v>
      </c>
      <c r="F479" s="15">
        <v>84.36</v>
      </c>
      <c r="G479" s="16">
        <f>F479*0.8</f>
        <v>67.488</v>
      </c>
      <c r="H479" s="17">
        <v>92.5</v>
      </c>
      <c r="I479" s="17">
        <f>H479*0.2</f>
        <v>18.5</v>
      </c>
      <c r="J479" s="16">
        <f>G479+I479</f>
        <v>85.988</v>
      </c>
    </row>
    <row r="480" spans="1:10" ht="22.5" customHeight="1">
      <c r="A480" s="11" t="str">
        <f t="shared" si="40"/>
        <v>15301</v>
      </c>
      <c r="B480" s="12" t="s">
        <v>63</v>
      </c>
      <c r="C480" s="31"/>
      <c r="D480" s="31"/>
      <c r="E480" s="14" t="str">
        <f>"王瑞"</f>
        <v>王瑞</v>
      </c>
      <c r="F480" s="15">
        <v>83.4</v>
      </c>
      <c r="G480" s="17">
        <f>F480*0.8</f>
        <v>66.72000000000001</v>
      </c>
      <c r="H480" s="17">
        <v>93.5</v>
      </c>
      <c r="I480" s="17">
        <f>H480*0.2</f>
        <v>18.7</v>
      </c>
      <c r="J480" s="17">
        <f>G480+I480</f>
        <v>85.42000000000002</v>
      </c>
    </row>
    <row r="481" spans="1:10" ht="22.5" customHeight="1">
      <c r="A481" s="11" t="str">
        <f t="shared" si="40"/>
        <v>15301</v>
      </c>
      <c r="B481" s="12" t="s">
        <v>63</v>
      </c>
      <c r="C481" s="31"/>
      <c r="D481" s="31"/>
      <c r="E481" s="14" t="str">
        <f>"冀铮"</f>
        <v>冀铮</v>
      </c>
      <c r="F481" s="15">
        <v>83.4</v>
      </c>
      <c r="G481" s="17">
        <f>F481*0.8</f>
        <v>66.72000000000001</v>
      </c>
      <c r="H481" s="17">
        <v>92.5</v>
      </c>
      <c r="I481" s="17">
        <f>H481*0.2</f>
        <v>18.5</v>
      </c>
      <c r="J481" s="17">
        <f>G481+I481</f>
        <v>85.22000000000001</v>
      </c>
    </row>
    <row r="482" spans="1:10" ht="22.5" customHeight="1">
      <c r="A482" s="11" t="str">
        <f t="shared" si="40"/>
        <v>15301</v>
      </c>
      <c r="B482" s="12" t="s">
        <v>63</v>
      </c>
      <c r="C482" s="31"/>
      <c r="D482" s="31"/>
      <c r="E482" s="14" t="str">
        <f>"柴丽莎"</f>
        <v>柴丽莎</v>
      </c>
      <c r="F482" s="15">
        <v>82.76</v>
      </c>
      <c r="G482" s="17">
        <f>F482*0.8</f>
        <v>66.20800000000001</v>
      </c>
      <c r="H482" s="17">
        <v>92</v>
      </c>
      <c r="I482" s="17">
        <f>H482*0.2</f>
        <v>18.400000000000002</v>
      </c>
      <c r="J482" s="17">
        <f>G482+I482</f>
        <v>84.60800000000002</v>
      </c>
    </row>
    <row r="483" spans="1:10" ht="22.5" customHeight="1">
      <c r="A483" s="11" t="str">
        <f t="shared" si="40"/>
        <v>15301</v>
      </c>
      <c r="B483" s="12" t="s">
        <v>63</v>
      </c>
      <c r="C483" s="31"/>
      <c r="D483" s="31"/>
      <c r="E483" s="12" t="str">
        <f>"汪立"</f>
        <v>汪立</v>
      </c>
      <c r="F483" s="32" t="s">
        <v>13</v>
      </c>
      <c r="G483" s="16"/>
      <c r="H483" s="17"/>
      <c r="I483" s="17"/>
      <c r="J483" s="17"/>
    </row>
    <row r="484" spans="1:10" s="1" customFormat="1" ht="22.5" customHeight="1">
      <c r="A484" s="23" t="str">
        <f t="shared" si="40"/>
        <v>15301</v>
      </c>
      <c r="B484" s="14" t="s">
        <v>63</v>
      </c>
      <c r="C484" s="33"/>
      <c r="D484" s="33"/>
      <c r="E484" s="14" t="str">
        <f>"郑玲"</f>
        <v>郑玲</v>
      </c>
      <c r="F484" s="32" t="s">
        <v>13</v>
      </c>
      <c r="G484" s="16"/>
      <c r="H484" s="16"/>
      <c r="I484" s="16"/>
      <c r="J484" s="16"/>
    </row>
    <row r="485" spans="1:10" s="1" customFormat="1" ht="22.5" customHeight="1">
      <c r="A485" s="34"/>
      <c r="B485" s="35"/>
      <c r="C485" s="35"/>
      <c r="D485" s="35"/>
      <c r="E485" s="35"/>
      <c r="F485" s="35"/>
      <c r="G485" s="35"/>
      <c r="H485" s="35"/>
      <c r="I485" s="35"/>
      <c r="J485" s="36"/>
    </row>
    <row r="486" spans="1:10" ht="22.5" customHeight="1">
      <c r="A486" s="11" t="str">
        <f aca="true" t="shared" si="41" ref="A486:A491">"15302"</f>
        <v>15302</v>
      </c>
      <c r="B486" s="12" t="s">
        <v>63</v>
      </c>
      <c r="C486" s="13">
        <v>1</v>
      </c>
      <c r="D486" s="13">
        <v>1</v>
      </c>
      <c r="E486" s="14" t="str">
        <f>"陈沙沙"</f>
        <v>陈沙沙</v>
      </c>
      <c r="F486" s="15">
        <v>84.92</v>
      </c>
      <c r="G486" s="16">
        <f>F486*0.8</f>
        <v>67.936</v>
      </c>
      <c r="H486" s="17">
        <v>93.5</v>
      </c>
      <c r="I486" s="17">
        <f>H486*0.2</f>
        <v>18.7</v>
      </c>
      <c r="J486" s="16">
        <f>G486+I486</f>
        <v>86.63600000000001</v>
      </c>
    </row>
    <row r="487" spans="1:10" ht="22.5" customHeight="1">
      <c r="A487" s="11" t="str">
        <f t="shared" si="41"/>
        <v>15302</v>
      </c>
      <c r="B487" s="12" t="s">
        <v>63</v>
      </c>
      <c r="C487" s="31"/>
      <c r="D487" s="31"/>
      <c r="E487" s="14" t="str">
        <f>"何梦洋"</f>
        <v>何梦洋</v>
      </c>
      <c r="F487" s="15">
        <v>83.02</v>
      </c>
      <c r="G487" s="17">
        <f>F487*0.8</f>
        <v>66.416</v>
      </c>
      <c r="H487" s="17">
        <v>93.5</v>
      </c>
      <c r="I487" s="17">
        <f>H487*0.2</f>
        <v>18.7</v>
      </c>
      <c r="J487" s="17">
        <f>G487+I487</f>
        <v>85.116</v>
      </c>
    </row>
    <row r="488" spans="1:10" ht="22.5" customHeight="1">
      <c r="A488" s="11" t="str">
        <f t="shared" si="41"/>
        <v>15302</v>
      </c>
      <c r="B488" s="12" t="s">
        <v>63</v>
      </c>
      <c r="C488" s="31"/>
      <c r="D488" s="31"/>
      <c r="E488" s="12" t="str">
        <f>"潘杏"</f>
        <v>潘杏</v>
      </c>
      <c r="F488" s="32" t="s">
        <v>13</v>
      </c>
      <c r="G488" s="16"/>
      <c r="H488" s="17"/>
      <c r="I488" s="17"/>
      <c r="J488" s="17"/>
    </row>
    <row r="489" spans="1:10" ht="22.5" customHeight="1">
      <c r="A489" s="11" t="str">
        <f t="shared" si="41"/>
        <v>15302</v>
      </c>
      <c r="B489" s="12" t="s">
        <v>63</v>
      </c>
      <c r="C489" s="31"/>
      <c r="D489" s="31"/>
      <c r="E489" s="12" t="str">
        <f>"王娟"</f>
        <v>王娟</v>
      </c>
      <c r="F489" s="32" t="s">
        <v>13</v>
      </c>
      <c r="G489" s="16"/>
      <c r="H489" s="17"/>
      <c r="I489" s="17"/>
      <c r="J489" s="17"/>
    </row>
    <row r="490" spans="1:10" ht="22.5" customHeight="1">
      <c r="A490" s="11" t="str">
        <f t="shared" si="41"/>
        <v>15302</v>
      </c>
      <c r="B490" s="12" t="s">
        <v>63</v>
      </c>
      <c r="C490" s="31"/>
      <c r="D490" s="31"/>
      <c r="E490" s="12" t="str">
        <f>"刘丹"</f>
        <v>刘丹</v>
      </c>
      <c r="F490" s="32" t="s">
        <v>13</v>
      </c>
      <c r="G490" s="16"/>
      <c r="H490" s="17"/>
      <c r="I490" s="17"/>
      <c r="J490" s="17"/>
    </row>
    <row r="491" spans="1:10" s="1" customFormat="1" ht="22.5" customHeight="1">
      <c r="A491" s="18" t="str">
        <f t="shared" si="41"/>
        <v>15302</v>
      </c>
      <c r="B491" s="19" t="s">
        <v>63</v>
      </c>
      <c r="C491" s="31"/>
      <c r="D491" s="31"/>
      <c r="E491" s="19" t="str">
        <f>"胡文豪"</f>
        <v>胡文豪</v>
      </c>
      <c r="F491" s="21" t="s">
        <v>13</v>
      </c>
      <c r="G491" s="22"/>
      <c r="H491" s="22"/>
      <c r="I491" s="22"/>
      <c r="J491" s="22"/>
    </row>
    <row r="492" spans="1:10" s="1" customFormat="1" ht="22.5" customHeight="1">
      <c r="A492" s="23"/>
      <c r="B492" s="23"/>
      <c r="C492" s="23"/>
      <c r="D492" s="23"/>
      <c r="E492" s="23"/>
      <c r="F492" s="23"/>
      <c r="G492" s="23"/>
      <c r="H492" s="23"/>
      <c r="I492" s="23"/>
      <c r="J492" s="23"/>
    </row>
    <row r="493" spans="1:10" s="1" customFormat="1" ht="22.5" customHeight="1">
      <c r="A493" s="41" t="str">
        <f>"15303"</f>
        <v>15303</v>
      </c>
      <c r="B493" s="27" t="s">
        <v>63</v>
      </c>
      <c r="C493" s="33">
        <v>1</v>
      </c>
      <c r="D493" s="33">
        <v>0</v>
      </c>
      <c r="E493" s="27" t="str">
        <f>"胡梦卓"</f>
        <v>胡梦卓</v>
      </c>
      <c r="F493" s="42" t="s">
        <v>13</v>
      </c>
      <c r="G493" s="29"/>
      <c r="H493" s="29"/>
      <c r="I493" s="29"/>
      <c r="J493" s="29"/>
    </row>
    <row r="494" spans="1:10" s="1" customFormat="1" ht="22.5" customHeight="1">
      <c r="A494" s="34"/>
      <c r="B494" s="35"/>
      <c r="C494" s="35"/>
      <c r="D494" s="35"/>
      <c r="E494" s="35"/>
      <c r="F494" s="35"/>
      <c r="G494" s="35"/>
      <c r="H494" s="35"/>
      <c r="I494" s="35"/>
      <c r="J494" s="36"/>
    </row>
    <row r="495" spans="1:10" ht="22.5" customHeight="1">
      <c r="A495" s="11" t="str">
        <f>"15401"</f>
        <v>15401</v>
      </c>
      <c r="B495" s="12" t="s">
        <v>64</v>
      </c>
      <c r="C495" s="13">
        <v>2</v>
      </c>
      <c r="D495" s="13">
        <v>2</v>
      </c>
      <c r="E495" s="14" t="str">
        <f>"李书琴"</f>
        <v>李书琴</v>
      </c>
      <c r="F495" s="15">
        <v>85.58</v>
      </c>
      <c r="G495" s="17">
        <f>F495*0.8</f>
        <v>68.464</v>
      </c>
      <c r="H495" s="17">
        <v>93.5</v>
      </c>
      <c r="I495" s="17">
        <f>H495*0.2</f>
        <v>18.7</v>
      </c>
      <c r="J495" s="17">
        <f>G495+I495</f>
        <v>87.164</v>
      </c>
    </row>
    <row r="496" spans="1:10" ht="22.5" customHeight="1">
      <c r="A496" s="11" t="str">
        <f>"15401"</f>
        <v>15401</v>
      </c>
      <c r="B496" s="12" t="s">
        <v>64</v>
      </c>
      <c r="C496" s="31"/>
      <c r="D496" s="31"/>
      <c r="E496" s="14" t="str">
        <f>"程程"</f>
        <v>程程</v>
      </c>
      <c r="F496" s="15">
        <v>84.86</v>
      </c>
      <c r="G496" s="17">
        <f>F496*0.8</f>
        <v>67.888</v>
      </c>
      <c r="H496" s="17">
        <v>94</v>
      </c>
      <c r="I496" s="17">
        <f>H496*0.2</f>
        <v>18.8</v>
      </c>
      <c r="J496" s="17">
        <f>G496+I496</f>
        <v>86.688</v>
      </c>
    </row>
    <row r="497" spans="1:10" ht="22.5" customHeight="1">
      <c r="A497" s="11" t="str">
        <f>"15401"</f>
        <v>15401</v>
      </c>
      <c r="B497" s="12" t="s">
        <v>64</v>
      </c>
      <c r="C497" s="31"/>
      <c r="D497" s="31"/>
      <c r="E497" s="12" t="str">
        <f>"李美"</f>
        <v>李美</v>
      </c>
      <c r="F497" s="32" t="s">
        <v>13</v>
      </c>
      <c r="G497" s="16"/>
      <c r="H497" s="17"/>
      <c r="I497" s="17"/>
      <c r="J497" s="17"/>
    </row>
    <row r="498" spans="1:10" s="1" customFormat="1" ht="22.5" customHeight="1">
      <c r="A498" s="23" t="str">
        <f>"15401"</f>
        <v>15401</v>
      </c>
      <c r="B498" s="14" t="s">
        <v>64</v>
      </c>
      <c r="C498" s="33"/>
      <c r="D498" s="33"/>
      <c r="E498" s="14" t="str">
        <f>"李婷"</f>
        <v>李婷</v>
      </c>
      <c r="F498" s="32" t="s">
        <v>13</v>
      </c>
      <c r="G498" s="16"/>
      <c r="H498" s="16"/>
      <c r="I498" s="16"/>
      <c r="J498" s="16"/>
    </row>
    <row r="499" spans="1:10" s="1" customFormat="1" ht="22.5" customHeight="1">
      <c r="A499" s="34"/>
      <c r="B499" s="35"/>
      <c r="C499" s="35"/>
      <c r="D499" s="35"/>
      <c r="E499" s="35"/>
      <c r="F499" s="35"/>
      <c r="G499" s="35"/>
      <c r="H499" s="35"/>
      <c r="I499" s="35"/>
      <c r="J499" s="36"/>
    </row>
    <row r="500" spans="1:10" ht="22.5" customHeight="1">
      <c r="A500" s="11" t="str">
        <f aca="true" t="shared" si="42" ref="A500:A512">"15402"</f>
        <v>15402</v>
      </c>
      <c r="B500" s="12" t="s">
        <v>64</v>
      </c>
      <c r="C500" s="13">
        <v>2</v>
      </c>
      <c r="D500" s="13">
        <v>2</v>
      </c>
      <c r="E500" s="14" t="str">
        <f>"陈小娇"</f>
        <v>陈小娇</v>
      </c>
      <c r="F500" s="15">
        <v>86.72</v>
      </c>
      <c r="G500" s="43">
        <f aca="true" t="shared" si="43" ref="G500:G507">F500*0.8</f>
        <v>69.376</v>
      </c>
      <c r="H500" s="17">
        <v>93.5</v>
      </c>
      <c r="I500" s="17">
        <f>H500*0.2</f>
        <v>18.7</v>
      </c>
      <c r="J500" s="43">
        <f>G500+I500</f>
        <v>88.07600000000001</v>
      </c>
    </row>
    <row r="501" spans="1:10" ht="22.5" customHeight="1">
      <c r="A501" s="11" t="str">
        <f t="shared" si="42"/>
        <v>15402</v>
      </c>
      <c r="B501" s="12" t="s">
        <v>64</v>
      </c>
      <c r="C501" s="31"/>
      <c r="D501" s="31"/>
      <c r="E501" s="14" t="str">
        <f>"张林"</f>
        <v>张林</v>
      </c>
      <c r="F501" s="15">
        <v>86.36</v>
      </c>
      <c r="G501" s="43">
        <f t="shared" si="43"/>
        <v>69.08800000000001</v>
      </c>
      <c r="H501" s="17">
        <v>93.5</v>
      </c>
      <c r="I501" s="17">
        <f>H501*0.2</f>
        <v>18.7</v>
      </c>
      <c r="J501" s="43">
        <f>G501+I501</f>
        <v>87.78800000000001</v>
      </c>
    </row>
    <row r="502" spans="1:10" ht="22.5" customHeight="1">
      <c r="A502" s="11" t="str">
        <f t="shared" si="42"/>
        <v>15402</v>
      </c>
      <c r="B502" s="12" t="s">
        <v>64</v>
      </c>
      <c r="C502" s="31"/>
      <c r="D502" s="31"/>
      <c r="E502" s="14" t="str">
        <f>"李晚成"</f>
        <v>李晚成</v>
      </c>
      <c r="F502" s="15">
        <v>84.26</v>
      </c>
      <c r="G502" s="17">
        <f t="shared" si="43"/>
        <v>67.408</v>
      </c>
      <c r="H502" s="17">
        <v>93</v>
      </c>
      <c r="I502" s="17">
        <f>H502*0.2</f>
        <v>18.6</v>
      </c>
      <c r="J502" s="17">
        <f>G502+I502</f>
        <v>86.00800000000001</v>
      </c>
    </row>
    <row r="503" spans="1:10" ht="22.5" customHeight="1">
      <c r="A503" s="11" t="str">
        <f t="shared" si="42"/>
        <v>15402</v>
      </c>
      <c r="B503" s="12" t="s">
        <v>64</v>
      </c>
      <c r="C503" s="31"/>
      <c r="D503" s="31"/>
      <c r="E503" s="14" t="str">
        <f>"丁玉娥"</f>
        <v>丁玉娥</v>
      </c>
      <c r="F503" s="15">
        <v>83.92</v>
      </c>
      <c r="G503" s="17">
        <f t="shared" si="43"/>
        <v>67.13600000000001</v>
      </c>
      <c r="H503" s="17">
        <v>93.5</v>
      </c>
      <c r="I503" s="17">
        <f>H503*0.2</f>
        <v>18.7</v>
      </c>
      <c r="J503" s="17">
        <f>G503+I503</f>
        <v>85.83600000000001</v>
      </c>
    </row>
    <row r="504" spans="1:10" ht="22.5" customHeight="1">
      <c r="A504" s="11" t="str">
        <f t="shared" si="42"/>
        <v>15402</v>
      </c>
      <c r="B504" s="12" t="s">
        <v>64</v>
      </c>
      <c r="C504" s="31"/>
      <c r="D504" s="31"/>
      <c r="E504" s="14" t="str">
        <f>"王小龙"</f>
        <v>王小龙</v>
      </c>
      <c r="F504" s="15">
        <v>83.12</v>
      </c>
      <c r="G504" s="17">
        <f t="shared" si="43"/>
        <v>66.49600000000001</v>
      </c>
      <c r="H504" s="17">
        <v>95</v>
      </c>
      <c r="I504" s="17">
        <f>H504*0.2</f>
        <v>19</v>
      </c>
      <c r="J504" s="17">
        <f>G504+I504</f>
        <v>85.49600000000001</v>
      </c>
    </row>
    <row r="505" spans="1:10" ht="22.5" customHeight="1">
      <c r="A505" s="11" t="str">
        <f t="shared" si="42"/>
        <v>15402</v>
      </c>
      <c r="B505" s="12" t="s">
        <v>64</v>
      </c>
      <c r="C505" s="31"/>
      <c r="D505" s="31"/>
      <c r="E505" s="14" t="str">
        <f>"黄国庆"</f>
        <v>黄国庆</v>
      </c>
      <c r="F505" s="15">
        <v>82.32</v>
      </c>
      <c r="G505" s="17">
        <f t="shared" si="43"/>
        <v>65.856</v>
      </c>
      <c r="H505" s="17">
        <v>92.5</v>
      </c>
      <c r="I505" s="17">
        <f>H505*0.2</f>
        <v>18.5</v>
      </c>
      <c r="J505" s="17">
        <f>G505+I505</f>
        <v>84.356</v>
      </c>
    </row>
    <row r="506" spans="1:10" ht="22.5" customHeight="1">
      <c r="A506" s="11" t="str">
        <f t="shared" si="42"/>
        <v>15402</v>
      </c>
      <c r="B506" s="12" t="s">
        <v>64</v>
      </c>
      <c r="C506" s="31"/>
      <c r="D506" s="31"/>
      <c r="E506" s="14" t="str">
        <f>"张龙威"</f>
        <v>张龙威</v>
      </c>
      <c r="F506" s="15">
        <v>81.78</v>
      </c>
      <c r="G506" s="17">
        <f t="shared" si="43"/>
        <v>65.424</v>
      </c>
      <c r="H506" s="17">
        <v>92</v>
      </c>
      <c r="I506" s="17">
        <f>H506*0.2</f>
        <v>18.400000000000002</v>
      </c>
      <c r="J506" s="17">
        <f>G506+I506</f>
        <v>83.82400000000001</v>
      </c>
    </row>
    <row r="507" spans="1:10" ht="22.5" customHeight="1">
      <c r="A507" s="11" t="str">
        <f t="shared" si="42"/>
        <v>15402</v>
      </c>
      <c r="B507" s="12" t="s">
        <v>64</v>
      </c>
      <c r="C507" s="31"/>
      <c r="D507" s="31"/>
      <c r="E507" s="14" t="str">
        <f>"陈涛"</f>
        <v>陈涛</v>
      </c>
      <c r="F507" s="15">
        <v>80.62</v>
      </c>
      <c r="G507" s="17">
        <f t="shared" si="43"/>
        <v>64.49600000000001</v>
      </c>
      <c r="H507" s="17">
        <v>92.5</v>
      </c>
      <c r="I507" s="17">
        <f>H507*0.2</f>
        <v>18.5</v>
      </c>
      <c r="J507" s="17">
        <f>G507+I507</f>
        <v>82.99600000000001</v>
      </c>
    </row>
    <row r="508" spans="1:10" ht="22.5" customHeight="1">
      <c r="A508" s="11" t="str">
        <f t="shared" si="42"/>
        <v>15402</v>
      </c>
      <c r="B508" s="12" t="s">
        <v>64</v>
      </c>
      <c r="C508" s="31"/>
      <c r="D508" s="31"/>
      <c r="E508" s="12" t="str">
        <f>"田梦媛"</f>
        <v>田梦媛</v>
      </c>
      <c r="F508" s="32" t="s">
        <v>13</v>
      </c>
      <c r="G508" s="16"/>
      <c r="H508" s="17"/>
      <c r="I508" s="17"/>
      <c r="J508" s="17"/>
    </row>
    <row r="509" spans="1:10" ht="22.5" customHeight="1">
      <c r="A509" s="11" t="str">
        <f t="shared" si="42"/>
        <v>15402</v>
      </c>
      <c r="B509" s="12" t="s">
        <v>64</v>
      </c>
      <c r="C509" s="31"/>
      <c r="D509" s="31"/>
      <c r="E509" s="12" t="str">
        <f>"谢文治"</f>
        <v>谢文治</v>
      </c>
      <c r="F509" s="32" t="s">
        <v>13</v>
      </c>
      <c r="G509" s="16"/>
      <c r="H509" s="17"/>
      <c r="I509" s="17"/>
      <c r="J509" s="17"/>
    </row>
    <row r="510" spans="1:10" ht="22.5" customHeight="1">
      <c r="A510" s="11" t="str">
        <f t="shared" si="42"/>
        <v>15402</v>
      </c>
      <c r="B510" s="12" t="s">
        <v>64</v>
      </c>
      <c r="C510" s="31"/>
      <c r="D510" s="31"/>
      <c r="E510" s="12" t="str">
        <f>"雷刚"</f>
        <v>雷刚</v>
      </c>
      <c r="F510" s="32" t="s">
        <v>13</v>
      </c>
      <c r="G510" s="16"/>
      <c r="H510" s="17"/>
      <c r="I510" s="17"/>
      <c r="J510" s="17"/>
    </row>
    <row r="511" spans="1:10" ht="22.5" customHeight="1">
      <c r="A511" s="11" t="str">
        <f t="shared" si="42"/>
        <v>15402</v>
      </c>
      <c r="B511" s="12" t="s">
        <v>64</v>
      </c>
      <c r="C511" s="31"/>
      <c r="D511" s="31"/>
      <c r="E511" s="12" t="str">
        <f>"胡响"</f>
        <v>胡响</v>
      </c>
      <c r="F511" s="32" t="s">
        <v>13</v>
      </c>
      <c r="G511" s="16"/>
      <c r="H511" s="17"/>
      <c r="I511" s="17"/>
      <c r="J511" s="17"/>
    </row>
    <row r="512" spans="1:10" s="1" customFormat="1" ht="22.5" customHeight="1">
      <c r="A512" s="23" t="str">
        <f t="shared" si="42"/>
        <v>15402</v>
      </c>
      <c r="B512" s="14" t="s">
        <v>64</v>
      </c>
      <c r="C512" s="33"/>
      <c r="D512" s="33"/>
      <c r="E512" s="14" t="str">
        <f>"张甜儿"</f>
        <v>张甜儿</v>
      </c>
      <c r="F512" s="32" t="s">
        <v>13</v>
      </c>
      <c r="G512" s="16"/>
      <c r="H512" s="16"/>
      <c r="I512" s="16"/>
      <c r="J512" s="16"/>
    </row>
    <row r="513" spans="1:10" s="1" customFormat="1" ht="22.5" customHeight="1">
      <c r="A513" s="34"/>
      <c r="B513" s="35"/>
      <c r="C513" s="35"/>
      <c r="D513" s="35"/>
      <c r="E513" s="35"/>
      <c r="F513" s="35"/>
      <c r="G513" s="35"/>
      <c r="H513" s="35"/>
      <c r="I513" s="35"/>
      <c r="J513" s="36"/>
    </row>
    <row r="514" spans="1:10" ht="22.5" customHeight="1">
      <c r="A514" s="11" t="str">
        <f aca="true" t="shared" si="44" ref="A514:A526">"15501"</f>
        <v>15501</v>
      </c>
      <c r="B514" s="12" t="s">
        <v>65</v>
      </c>
      <c r="C514" s="13">
        <v>1</v>
      </c>
      <c r="D514" s="13">
        <v>1</v>
      </c>
      <c r="E514" s="14" t="str">
        <f>"李格格"</f>
        <v>李格格</v>
      </c>
      <c r="F514" s="15">
        <v>83.96</v>
      </c>
      <c r="G514" s="16">
        <f>F514*0.8</f>
        <v>67.16799999999999</v>
      </c>
      <c r="H514" s="17">
        <v>92</v>
      </c>
      <c r="I514" s="17">
        <f>H514*0.2</f>
        <v>18.400000000000002</v>
      </c>
      <c r="J514" s="16">
        <f>G514+I514</f>
        <v>85.568</v>
      </c>
    </row>
    <row r="515" spans="1:10" ht="22.5" customHeight="1">
      <c r="A515" s="11" t="str">
        <f t="shared" si="44"/>
        <v>15501</v>
      </c>
      <c r="B515" s="12" t="s">
        <v>65</v>
      </c>
      <c r="C515" s="31"/>
      <c r="D515" s="31"/>
      <c r="E515" s="14" t="str">
        <f>"张云冲"</f>
        <v>张云冲</v>
      </c>
      <c r="F515" s="15">
        <v>83.5</v>
      </c>
      <c r="G515" s="17">
        <f>F515*0.8</f>
        <v>66.8</v>
      </c>
      <c r="H515" s="17">
        <v>92.5</v>
      </c>
      <c r="I515" s="17">
        <f>H515*0.2</f>
        <v>18.5</v>
      </c>
      <c r="J515" s="17">
        <f>G515+I515</f>
        <v>85.3</v>
      </c>
    </row>
    <row r="516" spans="1:10" ht="22.5" customHeight="1">
      <c r="A516" s="11" t="str">
        <f t="shared" si="44"/>
        <v>15501</v>
      </c>
      <c r="B516" s="12" t="s">
        <v>65</v>
      </c>
      <c r="C516" s="31"/>
      <c r="D516" s="31"/>
      <c r="E516" s="14" t="str">
        <f>"张书波"</f>
        <v>张书波</v>
      </c>
      <c r="F516" s="15">
        <v>81.82</v>
      </c>
      <c r="G516" s="17">
        <f>F516*0.8</f>
        <v>65.456</v>
      </c>
      <c r="H516" s="16">
        <v>92.5</v>
      </c>
      <c r="I516" s="17">
        <f>H516*0.2</f>
        <v>18.5</v>
      </c>
      <c r="J516" s="17">
        <f>G516+I516</f>
        <v>83.956</v>
      </c>
    </row>
    <row r="517" spans="1:10" ht="22.5" customHeight="1">
      <c r="A517" s="11" t="str">
        <f t="shared" si="44"/>
        <v>15501</v>
      </c>
      <c r="B517" s="12" t="s">
        <v>65</v>
      </c>
      <c r="C517" s="31"/>
      <c r="D517" s="31"/>
      <c r="E517" s="14" t="str">
        <f>"胡蒙蒙"</f>
        <v>胡蒙蒙</v>
      </c>
      <c r="F517" s="15">
        <v>81.58</v>
      </c>
      <c r="G517" s="17">
        <f>F517*0.8</f>
        <v>65.264</v>
      </c>
      <c r="H517" s="17">
        <v>92.5</v>
      </c>
      <c r="I517" s="17">
        <f>H517*0.2</f>
        <v>18.5</v>
      </c>
      <c r="J517" s="17">
        <f>G517+I517</f>
        <v>83.764</v>
      </c>
    </row>
    <row r="518" spans="1:10" ht="22.5" customHeight="1">
      <c r="A518" s="11" t="str">
        <f t="shared" si="44"/>
        <v>15501</v>
      </c>
      <c r="B518" s="12" t="s">
        <v>65</v>
      </c>
      <c r="C518" s="31"/>
      <c r="D518" s="31"/>
      <c r="E518" s="14" t="str">
        <f>"易文静"</f>
        <v>易文静</v>
      </c>
      <c r="F518" s="15">
        <v>81.36</v>
      </c>
      <c r="G518" s="17">
        <f>F518*0.8</f>
        <v>65.08800000000001</v>
      </c>
      <c r="H518" s="17">
        <v>92.5</v>
      </c>
      <c r="I518" s="17">
        <f>H518*0.2</f>
        <v>18.5</v>
      </c>
      <c r="J518" s="17">
        <f>G518+I518</f>
        <v>83.58800000000001</v>
      </c>
    </row>
    <row r="519" spans="1:10" ht="22.5" customHeight="1">
      <c r="A519" s="11" t="str">
        <f t="shared" si="44"/>
        <v>15501</v>
      </c>
      <c r="B519" s="12" t="s">
        <v>65</v>
      </c>
      <c r="C519" s="31"/>
      <c r="D519" s="31"/>
      <c r="E519" s="12" t="str">
        <f>"张欢"</f>
        <v>张欢</v>
      </c>
      <c r="F519" s="32" t="s">
        <v>13</v>
      </c>
      <c r="G519" s="16"/>
      <c r="H519" s="17"/>
      <c r="I519" s="17"/>
      <c r="J519" s="17"/>
    </row>
    <row r="520" spans="1:10" ht="22.5" customHeight="1">
      <c r="A520" s="11" t="str">
        <f t="shared" si="44"/>
        <v>15501</v>
      </c>
      <c r="B520" s="12" t="s">
        <v>65</v>
      </c>
      <c r="C520" s="31"/>
      <c r="D520" s="31"/>
      <c r="E520" s="14" t="str">
        <f>"姜正红"</f>
        <v>姜正红</v>
      </c>
      <c r="F520" s="32" t="s">
        <v>13</v>
      </c>
      <c r="G520" s="16"/>
      <c r="H520" s="17"/>
      <c r="I520" s="17"/>
      <c r="J520" s="17"/>
    </row>
    <row r="521" spans="1:10" ht="22.5" customHeight="1">
      <c r="A521" s="11" t="str">
        <f t="shared" si="44"/>
        <v>15501</v>
      </c>
      <c r="B521" s="12" t="s">
        <v>65</v>
      </c>
      <c r="C521" s="31"/>
      <c r="D521" s="31"/>
      <c r="E521" s="12" t="str">
        <f>"朱维"</f>
        <v>朱维</v>
      </c>
      <c r="F521" s="32" t="s">
        <v>13</v>
      </c>
      <c r="G521" s="16"/>
      <c r="H521" s="17"/>
      <c r="I521" s="17"/>
      <c r="J521" s="17"/>
    </row>
    <row r="522" spans="1:10" ht="22.5" customHeight="1">
      <c r="A522" s="11" t="str">
        <f t="shared" si="44"/>
        <v>15501</v>
      </c>
      <c r="B522" s="12" t="s">
        <v>65</v>
      </c>
      <c r="C522" s="31"/>
      <c r="D522" s="31"/>
      <c r="E522" s="12" t="str">
        <f>"李博申"</f>
        <v>李博申</v>
      </c>
      <c r="F522" s="32" t="s">
        <v>13</v>
      </c>
      <c r="G522" s="16"/>
      <c r="H522" s="17"/>
      <c r="I522" s="17"/>
      <c r="J522" s="17"/>
    </row>
    <row r="523" spans="1:10" ht="22.5" customHeight="1">
      <c r="A523" s="11" t="str">
        <f t="shared" si="44"/>
        <v>15501</v>
      </c>
      <c r="B523" s="12" t="s">
        <v>65</v>
      </c>
      <c r="C523" s="31"/>
      <c r="D523" s="31"/>
      <c r="E523" s="12" t="str">
        <f>"王海燕"</f>
        <v>王海燕</v>
      </c>
      <c r="F523" s="32" t="s">
        <v>13</v>
      </c>
      <c r="G523" s="16"/>
      <c r="H523" s="17"/>
      <c r="I523" s="17"/>
      <c r="J523" s="17"/>
    </row>
    <row r="524" spans="1:10" ht="22.5" customHeight="1">
      <c r="A524" s="11" t="str">
        <f t="shared" si="44"/>
        <v>15501</v>
      </c>
      <c r="B524" s="12" t="s">
        <v>65</v>
      </c>
      <c r="C524" s="31"/>
      <c r="D524" s="31"/>
      <c r="E524" s="12" t="str">
        <f>"余微"</f>
        <v>余微</v>
      </c>
      <c r="F524" s="32" t="s">
        <v>13</v>
      </c>
      <c r="G524" s="16"/>
      <c r="H524" s="17"/>
      <c r="I524" s="17"/>
      <c r="J524" s="17"/>
    </row>
    <row r="525" spans="1:10" ht="22.5" customHeight="1">
      <c r="A525" s="11" t="str">
        <f t="shared" si="44"/>
        <v>15501</v>
      </c>
      <c r="B525" s="12" t="s">
        <v>65</v>
      </c>
      <c r="C525" s="31"/>
      <c r="D525" s="31"/>
      <c r="E525" s="12" t="str">
        <f>"董元军"</f>
        <v>董元军</v>
      </c>
      <c r="F525" s="32" t="s">
        <v>13</v>
      </c>
      <c r="G525" s="16"/>
      <c r="H525" s="17"/>
      <c r="I525" s="17"/>
      <c r="J525" s="17"/>
    </row>
    <row r="526" spans="1:10" s="1" customFormat="1" ht="22.5" customHeight="1">
      <c r="A526" s="23" t="str">
        <f t="shared" si="44"/>
        <v>15501</v>
      </c>
      <c r="B526" s="14" t="s">
        <v>65</v>
      </c>
      <c r="C526" s="33"/>
      <c r="D526" s="33"/>
      <c r="E526" s="14" t="str">
        <f>"万进"</f>
        <v>万进</v>
      </c>
      <c r="F526" s="32" t="s">
        <v>13</v>
      </c>
      <c r="G526" s="16"/>
      <c r="H526" s="16"/>
      <c r="I526" s="16"/>
      <c r="J526" s="16"/>
    </row>
    <row r="527" spans="1:10" s="1" customFormat="1" ht="22.5" customHeight="1">
      <c r="A527" s="34"/>
      <c r="B527" s="35"/>
      <c r="C527" s="35"/>
      <c r="D527" s="35"/>
      <c r="E527" s="35"/>
      <c r="F527" s="35"/>
      <c r="G527" s="35"/>
      <c r="H527" s="35"/>
      <c r="I527" s="35"/>
      <c r="J527" s="36"/>
    </row>
    <row r="528" spans="1:10" s="1" customFormat="1" ht="22.5" customHeight="1">
      <c r="A528" s="23" t="str">
        <f>"15502"</f>
        <v>15502</v>
      </c>
      <c r="B528" s="14" t="s">
        <v>65</v>
      </c>
      <c r="C528" s="23">
        <v>1</v>
      </c>
      <c r="D528" s="23">
        <v>1</v>
      </c>
      <c r="E528" s="14" t="str">
        <f>"李红湘"</f>
        <v>李红湘</v>
      </c>
      <c r="F528" s="32">
        <v>82.44</v>
      </c>
      <c r="G528" s="16">
        <f>F528*0.8</f>
        <v>65.952</v>
      </c>
      <c r="H528" s="16">
        <v>95</v>
      </c>
      <c r="I528" s="16">
        <f>H528*0.2</f>
        <v>19</v>
      </c>
      <c r="J528" s="16">
        <f>G528+I528</f>
        <v>84.952</v>
      </c>
    </row>
    <row r="529" spans="1:10" s="1" customFormat="1" ht="22.5" customHeight="1">
      <c r="A529" s="34"/>
      <c r="B529" s="35"/>
      <c r="C529" s="35"/>
      <c r="D529" s="35"/>
      <c r="E529" s="35"/>
      <c r="F529" s="35"/>
      <c r="G529" s="35"/>
      <c r="H529" s="35"/>
      <c r="I529" s="35"/>
      <c r="J529" s="36"/>
    </row>
    <row r="530" spans="1:10" ht="22.5" customHeight="1">
      <c r="A530" s="11" t="str">
        <f aca="true" t="shared" si="45" ref="A530:A537">"15601"</f>
        <v>15601</v>
      </c>
      <c r="B530" s="12" t="s">
        <v>66</v>
      </c>
      <c r="C530" s="13">
        <v>2</v>
      </c>
      <c r="D530" s="13">
        <v>2</v>
      </c>
      <c r="E530" s="14" t="str">
        <f>"朱思儒"</f>
        <v>朱思儒</v>
      </c>
      <c r="F530" s="15">
        <v>84.1</v>
      </c>
      <c r="G530" s="17">
        <f>F530*0.8</f>
        <v>67.28</v>
      </c>
      <c r="H530" s="17">
        <v>92</v>
      </c>
      <c r="I530" s="17">
        <f>H530*0.2</f>
        <v>18.400000000000002</v>
      </c>
      <c r="J530" s="17">
        <f>G530+I530</f>
        <v>85.68</v>
      </c>
    </row>
    <row r="531" spans="1:10" ht="22.5" customHeight="1">
      <c r="A531" s="11" t="str">
        <f t="shared" si="45"/>
        <v>15601</v>
      </c>
      <c r="B531" s="12" t="s">
        <v>66</v>
      </c>
      <c r="C531" s="31"/>
      <c r="D531" s="31"/>
      <c r="E531" s="14" t="str">
        <f>"吴昌锦"</f>
        <v>吴昌锦</v>
      </c>
      <c r="F531" s="15">
        <v>82.64</v>
      </c>
      <c r="G531" s="17">
        <f>F531*0.8</f>
        <v>66.11200000000001</v>
      </c>
      <c r="H531" s="17">
        <v>93</v>
      </c>
      <c r="I531" s="17">
        <f>H531*0.2</f>
        <v>18.6</v>
      </c>
      <c r="J531" s="17">
        <f>G531+I531</f>
        <v>84.71200000000002</v>
      </c>
    </row>
    <row r="532" spans="1:10" ht="22.5" customHeight="1">
      <c r="A532" s="11" t="str">
        <f t="shared" si="45"/>
        <v>15601</v>
      </c>
      <c r="B532" s="12" t="s">
        <v>66</v>
      </c>
      <c r="C532" s="31"/>
      <c r="D532" s="31"/>
      <c r="E532" s="12" t="str">
        <f>"马颖"</f>
        <v>马颖</v>
      </c>
      <c r="F532" s="32" t="s">
        <v>13</v>
      </c>
      <c r="G532" s="16"/>
      <c r="H532" s="17"/>
      <c r="I532" s="17"/>
      <c r="J532" s="17"/>
    </row>
    <row r="533" spans="1:10" ht="22.5" customHeight="1">
      <c r="A533" s="11" t="str">
        <f t="shared" si="45"/>
        <v>15601</v>
      </c>
      <c r="B533" s="12" t="s">
        <v>66</v>
      </c>
      <c r="C533" s="31"/>
      <c r="D533" s="31"/>
      <c r="E533" s="12" t="str">
        <f>"陈金发"</f>
        <v>陈金发</v>
      </c>
      <c r="F533" s="32" t="s">
        <v>13</v>
      </c>
      <c r="G533" s="16"/>
      <c r="H533" s="17"/>
      <c r="I533" s="17"/>
      <c r="J533" s="17"/>
    </row>
    <row r="534" spans="1:10" ht="22.5" customHeight="1">
      <c r="A534" s="11" t="str">
        <f t="shared" si="45"/>
        <v>15601</v>
      </c>
      <c r="B534" s="12" t="s">
        <v>66</v>
      </c>
      <c r="C534" s="31"/>
      <c r="D534" s="31"/>
      <c r="E534" s="12" t="str">
        <f>"陈永佳"</f>
        <v>陈永佳</v>
      </c>
      <c r="F534" s="32" t="s">
        <v>13</v>
      </c>
      <c r="G534" s="16"/>
      <c r="H534" s="17"/>
      <c r="I534" s="17"/>
      <c r="J534" s="17"/>
    </row>
    <row r="535" spans="1:10" ht="22.5" customHeight="1">
      <c r="A535" s="11" t="str">
        <f t="shared" si="45"/>
        <v>15601</v>
      </c>
      <c r="B535" s="12" t="s">
        <v>66</v>
      </c>
      <c r="C535" s="31"/>
      <c r="D535" s="31"/>
      <c r="E535" s="12" t="str">
        <f>"杨文"</f>
        <v>杨文</v>
      </c>
      <c r="F535" s="32" t="s">
        <v>13</v>
      </c>
      <c r="G535" s="16"/>
      <c r="H535" s="17"/>
      <c r="I535" s="17"/>
      <c r="J535" s="17"/>
    </row>
    <row r="536" spans="1:10" ht="22.5" customHeight="1">
      <c r="A536" s="11" t="str">
        <f t="shared" si="45"/>
        <v>15601</v>
      </c>
      <c r="B536" s="12" t="s">
        <v>66</v>
      </c>
      <c r="C536" s="31"/>
      <c r="D536" s="31"/>
      <c r="E536" s="12" t="str">
        <f>"张丁文"</f>
        <v>张丁文</v>
      </c>
      <c r="F536" s="32" t="s">
        <v>13</v>
      </c>
      <c r="G536" s="16"/>
      <c r="H536" s="17"/>
      <c r="I536" s="17"/>
      <c r="J536" s="17"/>
    </row>
    <row r="537" spans="1:10" s="1" customFormat="1" ht="22.5" customHeight="1">
      <c r="A537" s="23" t="str">
        <f t="shared" si="45"/>
        <v>15601</v>
      </c>
      <c r="B537" s="14" t="s">
        <v>66</v>
      </c>
      <c r="C537" s="33"/>
      <c r="D537" s="33"/>
      <c r="E537" s="14" t="str">
        <f>"胡佳铭"</f>
        <v>胡佳铭</v>
      </c>
      <c r="F537" s="32" t="s">
        <v>13</v>
      </c>
      <c r="G537" s="16"/>
      <c r="H537" s="16"/>
      <c r="I537" s="16"/>
      <c r="J537" s="16"/>
    </row>
    <row r="538" spans="1:10" s="1" customFormat="1" ht="22.5" customHeight="1">
      <c r="A538" s="34"/>
      <c r="B538" s="35"/>
      <c r="C538" s="35"/>
      <c r="D538" s="35"/>
      <c r="E538" s="35"/>
      <c r="F538" s="35"/>
      <c r="G538" s="35"/>
      <c r="H538" s="35"/>
      <c r="I538" s="35"/>
      <c r="J538" s="36"/>
    </row>
    <row r="539" spans="1:10" ht="22.5" customHeight="1">
      <c r="A539" s="11" t="str">
        <f aca="true" t="shared" si="46" ref="A539:A548">"15701"</f>
        <v>15701</v>
      </c>
      <c r="B539" s="12" t="s">
        <v>67</v>
      </c>
      <c r="C539" s="13">
        <v>3</v>
      </c>
      <c r="D539" s="13">
        <v>3</v>
      </c>
      <c r="E539" s="14" t="str">
        <f>"尤迎春"</f>
        <v>尤迎春</v>
      </c>
      <c r="F539" s="15">
        <v>85.36</v>
      </c>
      <c r="G539" s="16">
        <f aca="true" t="shared" si="47" ref="G539:G545">F539*0.8</f>
        <v>68.288</v>
      </c>
      <c r="H539" s="17">
        <v>93</v>
      </c>
      <c r="I539" s="17">
        <f aca="true" t="shared" si="48" ref="I539:I548">H539*0.2</f>
        <v>18.6</v>
      </c>
      <c r="J539" s="16">
        <f aca="true" t="shared" si="49" ref="J539:J548">G539+I539</f>
        <v>86.888</v>
      </c>
    </row>
    <row r="540" spans="1:10" ht="22.5" customHeight="1">
      <c r="A540" s="11" t="str">
        <f t="shared" si="46"/>
        <v>15701</v>
      </c>
      <c r="B540" s="12" t="s">
        <v>67</v>
      </c>
      <c r="C540" s="31"/>
      <c r="D540" s="31"/>
      <c r="E540" s="14" t="str">
        <f>"梁根瑞"</f>
        <v>梁根瑞</v>
      </c>
      <c r="F540" s="15">
        <v>85.24</v>
      </c>
      <c r="G540" s="16">
        <f t="shared" si="47"/>
        <v>68.192</v>
      </c>
      <c r="H540" s="17">
        <v>93</v>
      </c>
      <c r="I540" s="17">
        <f t="shared" si="48"/>
        <v>18.6</v>
      </c>
      <c r="J540" s="16">
        <f t="shared" si="49"/>
        <v>86.792</v>
      </c>
    </row>
    <row r="541" spans="1:10" ht="22.5" customHeight="1">
      <c r="A541" s="11" t="str">
        <f t="shared" si="46"/>
        <v>15701</v>
      </c>
      <c r="B541" s="12" t="s">
        <v>67</v>
      </c>
      <c r="C541" s="31"/>
      <c r="D541" s="31"/>
      <c r="E541" s="14" t="str">
        <f>"朱绮文"</f>
        <v>朱绮文</v>
      </c>
      <c r="F541" s="15">
        <v>84.76</v>
      </c>
      <c r="G541" s="16">
        <f t="shared" si="47"/>
        <v>67.808</v>
      </c>
      <c r="H541" s="17">
        <v>93</v>
      </c>
      <c r="I541" s="17">
        <f t="shared" si="48"/>
        <v>18.6</v>
      </c>
      <c r="J541" s="16">
        <f t="shared" si="49"/>
        <v>86.40800000000002</v>
      </c>
    </row>
    <row r="542" spans="1:10" ht="22.5" customHeight="1">
      <c r="A542" s="11" t="str">
        <f t="shared" si="46"/>
        <v>15701</v>
      </c>
      <c r="B542" s="12" t="s">
        <v>67</v>
      </c>
      <c r="C542" s="31"/>
      <c r="D542" s="31"/>
      <c r="E542" s="14" t="str">
        <f>"毛威涛"</f>
        <v>毛威涛</v>
      </c>
      <c r="F542" s="15">
        <v>83.74</v>
      </c>
      <c r="G542" s="17">
        <f t="shared" si="47"/>
        <v>66.992</v>
      </c>
      <c r="H542" s="17">
        <v>93.5</v>
      </c>
      <c r="I542" s="17">
        <f t="shared" si="48"/>
        <v>18.7</v>
      </c>
      <c r="J542" s="17">
        <f t="shared" si="49"/>
        <v>85.69200000000001</v>
      </c>
    </row>
    <row r="543" spans="1:10" ht="22.5" customHeight="1">
      <c r="A543" s="11" t="str">
        <f t="shared" si="46"/>
        <v>15701</v>
      </c>
      <c r="B543" s="12" t="s">
        <v>67</v>
      </c>
      <c r="C543" s="31"/>
      <c r="D543" s="31"/>
      <c r="E543" s="14" t="str">
        <f>"杨松"</f>
        <v>杨松</v>
      </c>
      <c r="F543" s="15">
        <v>83.32</v>
      </c>
      <c r="G543" s="17">
        <f t="shared" si="47"/>
        <v>66.65599999999999</v>
      </c>
      <c r="H543" s="17">
        <v>93.5</v>
      </c>
      <c r="I543" s="17">
        <f t="shared" si="48"/>
        <v>18.7</v>
      </c>
      <c r="J543" s="17">
        <f t="shared" si="49"/>
        <v>85.356</v>
      </c>
    </row>
    <row r="544" spans="1:10" ht="22.5" customHeight="1">
      <c r="A544" s="11" t="str">
        <f t="shared" si="46"/>
        <v>15701</v>
      </c>
      <c r="B544" s="12" t="s">
        <v>67</v>
      </c>
      <c r="C544" s="31"/>
      <c r="D544" s="31"/>
      <c r="E544" s="14" t="str">
        <f>"文幸平"</f>
        <v>文幸平</v>
      </c>
      <c r="F544" s="15">
        <v>83.12</v>
      </c>
      <c r="G544" s="17">
        <f t="shared" si="47"/>
        <v>66.49600000000001</v>
      </c>
      <c r="H544" s="17">
        <v>93.5</v>
      </c>
      <c r="I544" s="17">
        <f t="shared" si="48"/>
        <v>18.7</v>
      </c>
      <c r="J544" s="17">
        <f t="shared" si="49"/>
        <v>85.19600000000001</v>
      </c>
    </row>
    <row r="545" spans="1:10" ht="22.5" customHeight="1">
      <c r="A545" s="11" t="str">
        <f t="shared" si="46"/>
        <v>15701</v>
      </c>
      <c r="B545" s="12" t="s">
        <v>67</v>
      </c>
      <c r="C545" s="31"/>
      <c r="D545" s="31"/>
      <c r="E545" s="14" t="str">
        <f>"杨萍"</f>
        <v>杨萍</v>
      </c>
      <c r="F545" s="15">
        <v>82.12</v>
      </c>
      <c r="G545" s="17">
        <f t="shared" si="47"/>
        <v>65.69600000000001</v>
      </c>
      <c r="H545" s="17">
        <v>94</v>
      </c>
      <c r="I545" s="17">
        <f t="shared" si="48"/>
        <v>18.8</v>
      </c>
      <c r="J545" s="17">
        <f t="shared" si="49"/>
        <v>84.49600000000001</v>
      </c>
    </row>
    <row r="546" spans="1:10" ht="22.5" customHeight="1">
      <c r="A546" s="11" t="str">
        <f t="shared" si="46"/>
        <v>15701</v>
      </c>
      <c r="B546" s="12" t="s">
        <v>67</v>
      </c>
      <c r="C546" s="31"/>
      <c r="D546" s="31"/>
      <c r="E546" s="12" t="str">
        <f>"郭娅茜"</f>
        <v>郭娅茜</v>
      </c>
      <c r="F546" s="32" t="s">
        <v>13</v>
      </c>
      <c r="G546" s="16"/>
      <c r="H546" s="17"/>
      <c r="I546" s="17"/>
      <c r="J546" s="17"/>
    </row>
    <row r="547" spans="1:10" ht="22.5" customHeight="1">
      <c r="A547" s="11" t="str">
        <f t="shared" si="46"/>
        <v>15701</v>
      </c>
      <c r="B547" s="12" t="s">
        <v>67</v>
      </c>
      <c r="C547" s="31"/>
      <c r="D547" s="31"/>
      <c r="E547" s="12" t="str">
        <f>"李正柳"</f>
        <v>李正柳</v>
      </c>
      <c r="F547" s="32" t="s">
        <v>13</v>
      </c>
      <c r="G547" s="16"/>
      <c r="H547" s="17"/>
      <c r="I547" s="17"/>
      <c r="J547" s="17"/>
    </row>
    <row r="548" spans="1:10" s="1" customFormat="1" ht="22.5" customHeight="1">
      <c r="A548" s="23" t="str">
        <f t="shared" si="46"/>
        <v>15701</v>
      </c>
      <c r="B548" s="14" t="s">
        <v>67</v>
      </c>
      <c r="C548" s="33"/>
      <c r="D548" s="33"/>
      <c r="E548" s="14" t="str">
        <f>"刘畅"</f>
        <v>刘畅</v>
      </c>
      <c r="F548" s="32" t="s">
        <v>13</v>
      </c>
      <c r="G548" s="16"/>
      <c r="H548" s="16"/>
      <c r="I548" s="16"/>
      <c r="J548" s="16"/>
    </row>
  </sheetData>
  <sheetProtection/>
  <mergeCells count="220">
    <mergeCell ref="A2:J2"/>
    <mergeCell ref="A6:J6"/>
    <mergeCell ref="A10:J10"/>
    <mergeCell ref="A19:J19"/>
    <mergeCell ref="A35:J35"/>
    <mergeCell ref="A39:J39"/>
    <mergeCell ref="A46:J46"/>
    <mergeCell ref="A48:J48"/>
    <mergeCell ref="A53:J53"/>
    <mergeCell ref="A59:J59"/>
    <mergeCell ref="A68:J68"/>
    <mergeCell ref="A76:J76"/>
    <mergeCell ref="A78:J78"/>
    <mergeCell ref="A82:J82"/>
    <mergeCell ref="A88:J88"/>
    <mergeCell ref="A91:J91"/>
    <mergeCell ref="A97:J97"/>
    <mergeCell ref="A100:J100"/>
    <mergeCell ref="A102:J102"/>
    <mergeCell ref="A104:J104"/>
    <mergeCell ref="A106:J106"/>
    <mergeCell ref="A111:J111"/>
    <mergeCell ref="A114:J114"/>
    <mergeCell ref="A127:J127"/>
    <mergeCell ref="A130:J130"/>
    <mergeCell ref="A133:J133"/>
    <mergeCell ref="A136:J136"/>
    <mergeCell ref="A138:J138"/>
    <mergeCell ref="A147:J147"/>
    <mergeCell ref="A151:J151"/>
    <mergeCell ref="A157:J157"/>
    <mergeCell ref="A162:J162"/>
    <mergeCell ref="A169:J169"/>
    <mergeCell ref="A185:J185"/>
    <mergeCell ref="A193:J193"/>
    <mergeCell ref="A201:J201"/>
    <mergeCell ref="A215:J215"/>
    <mergeCell ref="A221:J221"/>
    <mergeCell ref="A227:J227"/>
    <mergeCell ref="A237:J237"/>
    <mergeCell ref="A245:J245"/>
    <mergeCell ref="A251:J251"/>
    <mergeCell ref="A259:J259"/>
    <mergeCell ref="A263:J263"/>
    <mergeCell ref="A274:J274"/>
    <mergeCell ref="A289:J289"/>
    <mergeCell ref="A302:J302"/>
    <mergeCell ref="A311:J311"/>
    <mergeCell ref="A320:J320"/>
    <mergeCell ref="A325:J325"/>
    <mergeCell ref="A333:J333"/>
    <mergeCell ref="A336:J336"/>
    <mergeCell ref="A343:J343"/>
    <mergeCell ref="A355:J355"/>
    <mergeCell ref="A363:J363"/>
    <mergeCell ref="A371:J371"/>
    <mergeCell ref="A378:J378"/>
    <mergeCell ref="A389:J389"/>
    <mergeCell ref="A396:J396"/>
    <mergeCell ref="A403:J403"/>
    <mergeCell ref="A406:J406"/>
    <mergeCell ref="A408:J408"/>
    <mergeCell ref="A412:J412"/>
    <mergeCell ref="A416:J416"/>
    <mergeCell ref="A418:J418"/>
    <mergeCell ref="A424:J424"/>
    <mergeCell ref="A436:J436"/>
    <mergeCell ref="A444:J444"/>
    <mergeCell ref="A451:J451"/>
    <mergeCell ref="A455:J455"/>
    <mergeCell ref="A460:J460"/>
    <mergeCell ref="A477:J477"/>
    <mergeCell ref="A485:J485"/>
    <mergeCell ref="A492:J492"/>
    <mergeCell ref="A494:J494"/>
    <mergeCell ref="A499:J499"/>
    <mergeCell ref="A513:J513"/>
    <mergeCell ref="A527:J527"/>
    <mergeCell ref="A529:J529"/>
    <mergeCell ref="A538:J538"/>
    <mergeCell ref="C4:C5"/>
    <mergeCell ref="C7:C9"/>
    <mergeCell ref="C11:C18"/>
    <mergeCell ref="C20:C34"/>
    <mergeCell ref="C36:C38"/>
    <mergeCell ref="C40:C45"/>
    <mergeCell ref="C49:C52"/>
    <mergeCell ref="C54:C58"/>
    <mergeCell ref="C60:C67"/>
    <mergeCell ref="C69:C75"/>
    <mergeCell ref="C79:C81"/>
    <mergeCell ref="C83:C87"/>
    <mergeCell ref="C89:C90"/>
    <mergeCell ref="C92:C96"/>
    <mergeCell ref="C98:C99"/>
    <mergeCell ref="C107:C110"/>
    <mergeCell ref="C112:C113"/>
    <mergeCell ref="C115:C126"/>
    <mergeCell ref="C128:C129"/>
    <mergeCell ref="C131:C132"/>
    <mergeCell ref="C134:C135"/>
    <mergeCell ref="C139:C146"/>
    <mergeCell ref="C148:C150"/>
    <mergeCell ref="C152:C156"/>
    <mergeCell ref="C158:C161"/>
    <mergeCell ref="C163:C168"/>
    <mergeCell ref="C170:C184"/>
    <mergeCell ref="C186:C192"/>
    <mergeCell ref="C194:C200"/>
    <mergeCell ref="C202:C214"/>
    <mergeCell ref="C216:C220"/>
    <mergeCell ref="C222:C226"/>
    <mergeCell ref="C228:C236"/>
    <mergeCell ref="C238:C244"/>
    <mergeCell ref="C246:C250"/>
    <mergeCell ref="C252:C258"/>
    <mergeCell ref="C260:C262"/>
    <mergeCell ref="C264:C273"/>
    <mergeCell ref="C275:C288"/>
    <mergeCell ref="C290:C301"/>
    <mergeCell ref="C303:C310"/>
    <mergeCell ref="C312:C319"/>
    <mergeCell ref="C321:C324"/>
    <mergeCell ref="C326:C332"/>
    <mergeCell ref="C334:C335"/>
    <mergeCell ref="C337:C342"/>
    <mergeCell ref="C344:C354"/>
    <mergeCell ref="C356:C362"/>
    <mergeCell ref="C364:C370"/>
    <mergeCell ref="C372:C377"/>
    <mergeCell ref="C379:C388"/>
    <mergeCell ref="C390:C395"/>
    <mergeCell ref="C397:C402"/>
    <mergeCell ref="C404:C405"/>
    <mergeCell ref="C409:C411"/>
    <mergeCell ref="C413:C415"/>
    <mergeCell ref="C419:C423"/>
    <mergeCell ref="C425:C435"/>
    <mergeCell ref="C437:C443"/>
    <mergeCell ref="C445:C450"/>
    <mergeCell ref="C452:C454"/>
    <mergeCell ref="C456:C459"/>
    <mergeCell ref="C461:C476"/>
    <mergeCell ref="C478:C484"/>
    <mergeCell ref="C486:C491"/>
    <mergeCell ref="C495:C498"/>
    <mergeCell ref="C500:C512"/>
    <mergeCell ref="C514:C526"/>
    <mergeCell ref="C530:C537"/>
    <mergeCell ref="C539:C548"/>
    <mergeCell ref="D4:D5"/>
    <mergeCell ref="D7:D9"/>
    <mergeCell ref="D11:D18"/>
    <mergeCell ref="D20:D34"/>
    <mergeCell ref="D36:D38"/>
    <mergeCell ref="D40:D45"/>
    <mergeCell ref="D49:D52"/>
    <mergeCell ref="D54:D58"/>
    <mergeCell ref="D60:D67"/>
    <mergeCell ref="D69:D75"/>
    <mergeCell ref="D79:D81"/>
    <mergeCell ref="D83:D87"/>
    <mergeCell ref="D89:D90"/>
    <mergeCell ref="D92:D96"/>
    <mergeCell ref="D98:D99"/>
    <mergeCell ref="D107:D110"/>
    <mergeCell ref="D112:D113"/>
    <mergeCell ref="D115:D126"/>
    <mergeCell ref="D128:D129"/>
    <mergeCell ref="D131:D132"/>
    <mergeCell ref="D134:D135"/>
    <mergeCell ref="D139:D146"/>
    <mergeCell ref="D148:D150"/>
    <mergeCell ref="D152:D156"/>
    <mergeCell ref="D158:D161"/>
    <mergeCell ref="D163:D168"/>
    <mergeCell ref="D170:D184"/>
    <mergeCell ref="D186:D192"/>
    <mergeCell ref="D194:D200"/>
    <mergeCell ref="D202:D214"/>
    <mergeCell ref="D216:D220"/>
    <mergeCell ref="D222:D226"/>
    <mergeCell ref="D228:D236"/>
    <mergeCell ref="D238:D244"/>
    <mergeCell ref="D246:D250"/>
    <mergeCell ref="D252:D258"/>
    <mergeCell ref="D260:D262"/>
    <mergeCell ref="D264:D273"/>
    <mergeCell ref="D275:D288"/>
    <mergeCell ref="D290:D301"/>
    <mergeCell ref="D303:D310"/>
    <mergeCell ref="D312:D319"/>
    <mergeCell ref="D321:D324"/>
    <mergeCell ref="D326:D332"/>
    <mergeCell ref="D334:D335"/>
    <mergeCell ref="D337:D342"/>
    <mergeCell ref="D344:D354"/>
    <mergeCell ref="D356:D362"/>
    <mergeCell ref="D364:D370"/>
    <mergeCell ref="D372:D377"/>
    <mergeCell ref="D379:D388"/>
    <mergeCell ref="D390:D395"/>
    <mergeCell ref="D397:D402"/>
    <mergeCell ref="D404:D405"/>
    <mergeCell ref="D409:D411"/>
    <mergeCell ref="D413:D415"/>
    <mergeCell ref="D419:D423"/>
    <mergeCell ref="D425:D435"/>
    <mergeCell ref="D437:D443"/>
    <mergeCell ref="D445:D450"/>
    <mergeCell ref="D452:D454"/>
    <mergeCell ref="D456:D459"/>
    <mergeCell ref="D461:D476"/>
    <mergeCell ref="D478:D484"/>
    <mergeCell ref="D486:D491"/>
    <mergeCell ref="D495:D498"/>
    <mergeCell ref="D500:D512"/>
    <mergeCell ref="D514:D526"/>
    <mergeCell ref="D530:D537"/>
    <mergeCell ref="D539:D548"/>
  </mergeCells>
  <printOptions/>
  <pageMargins left="0.75" right="0.75" top="0.5902777777777778" bottom="0.4722222222222222" header="0.5" footer="0.354166666666666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陪你度过漫长岁月</cp:lastModifiedBy>
  <dcterms:created xsi:type="dcterms:W3CDTF">2022-06-20T07:12:42Z</dcterms:created>
  <dcterms:modified xsi:type="dcterms:W3CDTF">2022-07-20T07:34:27Z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73CBB2EBB779472EAD56B717AAF6CA04</vt:lpwstr>
  </property>
  <property fmtid="{D5CDD505-2E9C-101B-9397-08002B2CF9AE}" pid="4" name="KSOProductBuildV">
    <vt:lpwstr>2052-11.1.0.11830</vt:lpwstr>
  </property>
  <property fmtid="{D5CDD505-2E9C-101B-9397-08002B2CF9AE}" pid="5" name="KSOReadingLayo">
    <vt:bool>true</vt:bool>
  </property>
</Properties>
</file>